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Стародумова\Рабочая\Отчеты\Алтайский фонд МСП\На сайт(ежемесячно)\2021\на 01.01.2022\"/>
    </mc:Choice>
  </mc:AlternateContent>
  <xr:revisionPtr revIDLastSave="0" documentId="8_{FBF5DB18-0FA2-46D3-A91F-86E26AB112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ручительства Фонда" sheetId="1" r:id="rId1"/>
  </sheets>
  <definedNames>
    <definedName name="_xlnm.Print_Area" localSheetId="0">'поручительства Фонда'!$A$1:$Q$25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  <c r="M5" i="1"/>
  <c r="K5" i="1"/>
  <c r="L5" i="1"/>
  <c r="N7" i="1"/>
  <c r="M7" i="1"/>
  <c r="N19" i="1"/>
  <c r="M19" i="1"/>
  <c r="N18" i="1"/>
  <c r="M18" i="1"/>
  <c r="N11" i="1"/>
  <c r="M11" i="1"/>
  <c r="N13" i="1"/>
  <c r="M13" i="1"/>
  <c r="R25" i="1"/>
  <c r="S24" i="1"/>
  <c r="F23" i="1"/>
  <c r="E23" i="1"/>
  <c r="D23" i="1"/>
  <c r="C23" i="1"/>
  <c r="N8" i="1" l="1"/>
  <c r="M8" i="1"/>
  <c r="N16" i="1"/>
  <c r="M16" i="1"/>
  <c r="L16" i="1"/>
  <c r="K16" i="1"/>
  <c r="N6" i="1" l="1"/>
  <c r="M6" i="1"/>
  <c r="C22" i="1"/>
  <c r="D22" i="1"/>
  <c r="E22" i="1"/>
  <c r="F22" i="1"/>
  <c r="D24" i="1"/>
  <c r="C24" i="1"/>
  <c r="N24" i="1" l="1"/>
  <c r="F24" i="1" s="1"/>
  <c r="M24" i="1"/>
  <c r="E24" i="1" s="1"/>
  <c r="F21" i="1" l="1"/>
  <c r="E21" i="1"/>
  <c r="D21" i="1"/>
  <c r="C21" i="1"/>
  <c r="K25" i="1" l="1"/>
  <c r="F19" i="1" l="1"/>
  <c r="F20" i="1"/>
  <c r="E19" i="1"/>
  <c r="E20" i="1"/>
  <c r="D19" i="1"/>
  <c r="D20" i="1"/>
  <c r="C19" i="1"/>
  <c r="C20" i="1"/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5" i="1"/>
  <c r="G25" i="1" l="1"/>
  <c r="C25" i="1" s="1"/>
  <c r="E6" i="1" l="1"/>
  <c r="E7" i="1"/>
  <c r="E8" i="1"/>
  <c r="E9" i="1"/>
  <c r="S9" i="1" s="1"/>
  <c r="E10" i="1"/>
  <c r="E11" i="1"/>
  <c r="E12" i="1"/>
  <c r="E13" i="1"/>
  <c r="E14" i="1"/>
  <c r="E15" i="1"/>
  <c r="E16" i="1"/>
  <c r="S16" i="1" s="1"/>
  <c r="E17" i="1"/>
  <c r="E18" i="1"/>
  <c r="F18" i="1" l="1"/>
  <c r="D18" i="1"/>
  <c r="F17" i="1" l="1"/>
  <c r="D17" i="1"/>
  <c r="F16" i="1" l="1"/>
  <c r="D16" i="1"/>
  <c r="F15" i="1" l="1"/>
  <c r="D15" i="1"/>
  <c r="O25" i="1" l="1"/>
  <c r="P25" i="1"/>
  <c r="Q25" i="1"/>
  <c r="F7" i="1" l="1"/>
  <c r="D7" i="1"/>
  <c r="J25" i="1" l="1"/>
  <c r="H25" i="1" l="1"/>
  <c r="I25" i="1" l="1"/>
  <c r="F14" i="1"/>
  <c r="D13" i="1"/>
  <c r="F13" i="1"/>
  <c r="D14" i="1"/>
  <c r="D5" i="1"/>
  <c r="F5" i="1"/>
  <c r="D9" i="1"/>
  <c r="F9" i="1"/>
  <c r="D11" i="1"/>
  <c r="F11" i="1"/>
  <c r="D10" i="1"/>
  <c r="F10" i="1"/>
  <c r="D12" i="1"/>
  <c r="F12" i="1"/>
  <c r="D6" i="1"/>
  <c r="F6" i="1"/>
  <c r="D8" i="1"/>
  <c r="F8" i="1"/>
  <c r="L25" i="1"/>
  <c r="D25" i="1" s="1"/>
  <c r="N25" i="1"/>
  <c r="M25" i="1"/>
  <c r="F25" i="1" l="1"/>
  <c r="E25" i="1"/>
  <c r="S25" i="1" s="1"/>
  <c r="E5" i="1"/>
  <c r="S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gl_econ</author>
    <author>Shavolin</author>
  </authors>
  <commentList>
    <comment ref="M13" authorId="0" shapeId="0" xr:uid="{1FA96CD5-380E-4F68-AC20-80777CD906D0}">
      <text>
        <r>
          <rPr>
            <b/>
            <sz val="9"/>
            <color indexed="81"/>
            <rFont val="Tahoma"/>
            <family val="2"/>
            <charset val="204"/>
          </rPr>
          <t>gl_econ:</t>
        </r>
        <r>
          <rPr>
            <sz val="9"/>
            <color indexed="81"/>
            <rFont val="Tahoma"/>
            <family val="2"/>
            <charset val="204"/>
          </rPr>
          <t xml:space="preserve">
добавлен Петров 1 млн.руб. по доп.чоглашению к договору 840 2020 года</t>
        </r>
      </text>
    </comment>
    <comment ref="B24" authorId="1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+Бинбанк+Тальменка-Банк+ЮниаструмБанк</t>
        </r>
      </text>
    </comment>
  </commentList>
</comments>
</file>

<file path=xl/sharedStrings.xml><?xml version="1.0" encoding="utf-8"?>
<sst xmlns="http://schemas.openxmlformats.org/spreadsheetml/2006/main" count="45" uniqueCount="43">
  <si>
    <t>Бывшие банки-партнеры</t>
  </si>
  <si>
    <t>ИТОГО</t>
  </si>
  <si>
    <t>Объем выданных поручительств (с начала деятельности Фонда), руб.</t>
  </si>
  <si>
    <t>Количество выданных поручительств (с начала деятельности Фонда), шт.</t>
  </si>
  <si>
    <t>№ п/п</t>
  </si>
  <si>
    <t>Сумма поручительств, руб.</t>
  </si>
  <si>
    <t>Сумма кредитов, выданных под поручительства, руб.</t>
  </si>
  <si>
    <t>ПАО Сбербанк</t>
  </si>
  <si>
    <t>АО "Россельхозбанк"</t>
  </si>
  <si>
    <t>ПАО Банк "ФК Открытие"</t>
  </si>
  <si>
    <t>ПАО "Промсвязьбанк"</t>
  </si>
  <si>
    <t>ПАО "АК БАРС" БАНК</t>
  </si>
  <si>
    <t>ТКБ БАНК ПАО</t>
  </si>
  <si>
    <t>Банк "Левобережный" (ПАО)</t>
  </si>
  <si>
    <t>"СИБСОЦБАНК" ООО</t>
  </si>
  <si>
    <t>АО "Банк Акцепт"</t>
  </si>
  <si>
    <t>ООО КБ "Алтайкапиталбанк"</t>
  </si>
  <si>
    <t>АО "МСП Банк"</t>
  </si>
  <si>
    <t>АО "Банк Интеза"</t>
  </si>
  <si>
    <t>АО "АЛЬФА-БАНК"</t>
  </si>
  <si>
    <t>Банк ВТБ (ПАО)</t>
  </si>
  <si>
    <t>Кол-во субъектов получивших поддержку, шт.</t>
  </si>
  <si>
    <t>Количество выданных поручительств, шт.</t>
  </si>
  <si>
    <t>Объем выданных поручительств, руб.</t>
  </si>
  <si>
    <t>Объем выданных кредитов под поручительство Фонда, руб.</t>
  </si>
  <si>
    <t>Кол-во субъектов получивших поддержку
(с начала деятельности Фонда), шт.</t>
  </si>
  <si>
    <t>Объем выданных кредитов под поручительство Фонда
(с начала деятельности Фонда), руб.</t>
  </si>
  <si>
    <t>Кол-во договоров, шт.</t>
  </si>
  <si>
    <t>Кол-во субъектов, шт.</t>
  </si>
  <si>
    <t xml:space="preserve">Объем  выданных поручительств, руб.  </t>
  </si>
  <si>
    <t>Фонд развития Алтайского края</t>
  </si>
  <si>
    <t>Наименование финансовой организации-партнера</t>
  </si>
  <si>
    <t>АО "СМП Банк"</t>
  </si>
  <si>
    <t>2007-2020</t>
  </si>
  <si>
    <t>2021 г.</t>
  </si>
  <si>
    <t>МКК ФОНД ФИНАНСИРОВАНИЯ</t>
  </si>
  <si>
    <t>Убыточность банка</t>
  </si>
  <si>
    <t>Выплаты по банку, руб.</t>
  </si>
  <si>
    <t>2007-2021 гг.</t>
  </si>
  <si>
    <t>АО АКБ "НОВИКОМБАНК</t>
  </si>
  <si>
    <t>"Азиатско-Тихоокеанский Банк" (АО)</t>
  </si>
  <si>
    <t>Сведения о поручительствах, предоставленных НО "Алтайский фонд МСП", в разрезе финансовых организаций - партнеров на 01.01.2022</t>
  </si>
  <si>
    <t>Действующие поручительства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</si>
</sst>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8"/>
      <color theme="1"/>
      <name val="Times New Roman"/>
      <family val="1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48">
    <xf numFmtId="0" fontId="0" fillId="0" borderId="0" xfId="0"/>
    <xf numFmtId="0" fontId="4" fillId="0" borderId="0" xfId="0" applyFont="1"/>
    <xf numFmtId="0" fontId="5" fillId="0" borderId="0" xfId="0" applyFont="1" applyBorder="1"/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3" fontId="0" fillId="0" borderId="0" xfId="0" applyNumberFormat="1"/>
    <xf numFmtId="4" fontId="0" fillId="0" borderId="0" xfId="0" applyNumberFormat="1" applyFill="1" applyAlignment="1">
      <alignment horizontal="center"/>
    </xf>
    <xf numFmtId="4" fontId="0" fillId="0" borderId="0" xfId="0" applyNumberFormat="1"/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</cellXfs>
  <cellStyles count="2">
    <cellStyle name="Excel Built-in Normal" xfId="1" xr:uid="{739C1B7D-C161-499C-9975-59462CB365C0}"/>
    <cellStyle name="Обычный" xfId="0" builtinId="0"/>
  </cellStyles>
  <dxfs count="0"/>
  <tableStyles count="0" defaultTableStyle="TableStyleMedium9" defaultPivotStyle="PivotStyleLight16"/>
  <colors>
    <mruColors>
      <color rgb="FF66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34"/>
  <sheetViews>
    <sheetView tabSelected="1" zoomScale="75" zoomScaleNormal="75" workbookViewId="0">
      <selection activeCell="O4" sqref="O4"/>
    </sheetView>
  </sheetViews>
  <sheetFormatPr defaultRowHeight="15" x14ac:dyDescent="0.25"/>
  <cols>
    <col min="2" max="2" width="44.28515625" customWidth="1"/>
    <col min="3" max="3" width="19.85546875" customWidth="1"/>
    <col min="4" max="4" width="18.28515625" customWidth="1"/>
    <col min="5" max="5" width="18.42578125" style="8" customWidth="1"/>
    <col min="6" max="6" width="23.140625" style="8" customWidth="1"/>
    <col min="7" max="7" width="18.140625" style="8" hidden="1" customWidth="1"/>
    <col min="8" max="8" width="20" style="8" hidden="1" customWidth="1"/>
    <col min="9" max="9" width="18.7109375" style="8" hidden="1" customWidth="1"/>
    <col min="10" max="10" width="21" style="8" hidden="1" customWidth="1"/>
    <col min="11" max="11" width="19.140625" style="8" customWidth="1"/>
    <col min="12" max="12" width="18.5703125" style="8" customWidth="1"/>
    <col min="13" max="13" width="18.85546875" style="8" customWidth="1"/>
    <col min="14" max="14" width="19.5703125" style="8" customWidth="1"/>
    <col min="15" max="15" width="18" customWidth="1"/>
    <col min="16" max="16" width="19.140625" customWidth="1"/>
    <col min="17" max="17" width="19" customWidth="1"/>
    <col min="18" max="18" width="18.140625" customWidth="1"/>
    <col min="19" max="19" width="17.5703125" customWidth="1"/>
  </cols>
  <sheetData>
    <row r="1" spans="1:19" ht="20.25" customHeight="1" x14ac:dyDescent="0.25">
      <c r="A1" s="36" t="s">
        <v>41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s="1" customFormat="1" ht="15.7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9" s="1" customFormat="1" ht="23.25" customHeight="1" x14ac:dyDescent="0.25">
      <c r="A3" s="38" t="s">
        <v>4</v>
      </c>
      <c r="B3" s="39" t="s">
        <v>31</v>
      </c>
      <c r="C3" s="43" t="s">
        <v>38</v>
      </c>
      <c r="D3" s="44"/>
      <c r="E3" s="44"/>
      <c r="F3" s="45"/>
      <c r="G3" s="40" t="s">
        <v>33</v>
      </c>
      <c r="H3" s="41"/>
      <c r="I3" s="41"/>
      <c r="J3" s="42"/>
      <c r="K3" s="40" t="s">
        <v>34</v>
      </c>
      <c r="L3" s="41"/>
      <c r="M3" s="41"/>
      <c r="N3" s="42"/>
      <c r="O3" s="35" t="s">
        <v>42</v>
      </c>
      <c r="P3" s="35"/>
      <c r="Q3" s="35"/>
      <c r="R3" s="34" t="s">
        <v>37</v>
      </c>
      <c r="S3" s="34" t="s">
        <v>36</v>
      </c>
    </row>
    <row r="4" spans="1:19" s="1" customFormat="1" ht="112.5" customHeight="1" x14ac:dyDescent="0.25">
      <c r="A4" s="38"/>
      <c r="B4" s="39"/>
      <c r="C4" s="19" t="s">
        <v>25</v>
      </c>
      <c r="D4" s="20" t="s">
        <v>3</v>
      </c>
      <c r="E4" s="19" t="s">
        <v>2</v>
      </c>
      <c r="F4" s="19" t="s">
        <v>26</v>
      </c>
      <c r="G4" s="19" t="s">
        <v>21</v>
      </c>
      <c r="H4" s="19" t="s">
        <v>22</v>
      </c>
      <c r="I4" s="19" t="s">
        <v>23</v>
      </c>
      <c r="J4" s="19" t="s">
        <v>24</v>
      </c>
      <c r="K4" s="19" t="s">
        <v>28</v>
      </c>
      <c r="L4" s="19" t="s">
        <v>22</v>
      </c>
      <c r="M4" s="19" t="s">
        <v>29</v>
      </c>
      <c r="N4" s="19" t="s">
        <v>24</v>
      </c>
      <c r="O4" s="30" t="s">
        <v>27</v>
      </c>
      <c r="P4" s="30" t="s">
        <v>5</v>
      </c>
      <c r="Q4" s="30" t="s">
        <v>6</v>
      </c>
      <c r="R4" s="34"/>
      <c r="S4" s="34"/>
    </row>
    <row r="5" spans="1:19" s="1" customFormat="1" ht="18.75" x14ac:dyDescent="0.3">
      <c r="A5" s="17">
        <v>1</v>
      </c>
      <c r="B5" s="21" t="s">
        <v>7</v>
      </c>
      <c r="C5" s="10">
        <f>G5+K5</f>
        <v>323</v>
      </c>
      <c r="D5" s="10">
        <f t="shared" ref="D5:D21" si="0">H5+L5</f>
        <v>354</v>
      </c>
      <c r="E5" s="3">
        <f t="shared" ref="E5:E21" si="1">I5+M5</f>
        <v>1413823077.1299999</v>
      </c>
      <c r="F5" s="3">
        <f t="shared" ref="F5:F21" si="2">J5+N5</f>
        <v>3744606768</v>
      </c>
      <c r="G5" s="3">
        <v>267</v>
      </c>
      <c r="H5" s="3">
        <v>290</v>
      </c>
      <c r="I5" s="26">
        <v>1050366279.1299999</v>
      </c>
      <c r="J5" s="3">
        <v>2839536912</v>
      </c>
      <c r="K5" s="3">
        <f>9+4+10+4+5+4+6+4+4+3+3</f>
        <v>56</v>
      </c>
      <c r="L5" s="4">
        <f>9+4+11+4+6+4+6+5+5+4+6</f>
        <v>64</v>
      </c>
      <c r="M5" s="4">
        <f>35744750+20200000+72187300+22850000+16893500+33221000+18257800+16052448+65000000+9050000+54000000</f>
        <v>363456798</v>
      </c>
      <c r="N5" s="4">
        <f>77795200+41800000+151600000+52518816+54020000+84000000+42730930+48726700+181000000+23078210+147800000</f>
        <v>905069856</v>
      </c>
      <c r="O5" s="31">
        <v>95</v>
      </c>
      <c r="P5" s="31">
        <v>480071312.30000001</v>
      </c>
      <c r="Q5" s="31">
        <v>1229605726</v>
      </c>
      <c r="R5" s="4">
        <v>5153759.18</v>
      </c>
      <c r="S5" s="28">
        <f>R5/E5</f>
        <v>3.6452645761461959E-3</v>
      </c>
    </row>
    <row r="6" spans="1:19" s="1" customFormat="1" ht="20.25" customHeight="1" x14ac:dyDescent="0.3">
      <c r="A6" s="17">
        <v>2</v>
      </c>
      <c r="B6" s="21" t="s">
        <v>8</v>
      </c>
      <c r="C6" s="10">
        <f t="shared" ref="C6:C21" si="3">G6+K6</f>
        <v>35</v>
      </c>
      <c r="D6" s="10">
        <f t="shared" si="0"/>
        <v>44</v>
      </c>
      <c r="E6" s="3">
        <f t="shared" si="1"/>
        <v>232640340</v>
      </c>
      <c r="F6" s="3">
        <f t="shared" si="2"/>
        <v>746055109</v>
      </c>
      <c r="G6" s="3">
        <v>32</v>
      </c>
      <c r="H6" s="3">
        <v>41</v>
      </c>
      <c r="I6" s="26">
        <v>216240340</v>
      </c>
      <c r="J6" s="3">
        <v>686055109</v>
      </c>
      <c r="K6" s="3">
        <v>3</v>
      </c>
      <c r="L6" s="3">
        <v>3</v>
      </c>
      <c r="M6" s="5">
        <f>10400000+6000000</f>
        <v>16400000</v>
      </c>
      <c r="N6" s="5">
        <f>40000000+20000000</f>
        <v>60000000</v>
      </c>
      <c r="O6" s="31">
        <v>6</v>
      </c>
      <c r="P6" s="31">
        <v>22642500</v>
      </c>
      <c r="Q6" s="31">
        <v>75853216</v>
      </c>
      <c r="R6" s="4"/>
      <c r="S6" s="28"/>
    </row>
    <row r="7" spans="1:19" s="1" customFormat="1" ht="18.75" x14ac:dyDescent="0.3">
      <c r="A7" s="27">
        <v>3</v>
      </c>
      <c r="B7" s="22" t="s">
        <v>9</v>
      </c>
      <c r="C7" s="10">
        <f t="shared" si="3"/>
        <v>26</v>
      </c>
      <c r="D7" s="10">
        <f t="shared" si="0"/>
        <v>27</v>
      </c>
      <c r="E7" s="3">
        <f t="shared" si="1"/>
        <v>131889000</v>
      </c>
      <c r="F7" s="3">
        <f t="shared" si="2"/>
        <v>371599000</v>
      </c>
      <c r="G7" s="3">
        <v>24</v>
      </c>
      <c r="H7" s="3">
        <v>25</v>
      </c>
      <c r="I7" s="26">
        <v>118289000</v>
      </c>
      <c r="J7" s="3">
        <v>318599000</v>
      </c>
      <c r="K7" s="3">
        <v>2</v>
      </c>
      <c r="L7" s="6">
        <v>2</v>
      </c>
      <c r="M7" s="3">
        <f>8600000+5000000</f>
        <v>13600000</v>
      </c>
      <c r="N7" s="3">
        <f>43000000+10000000</f>
        <v>53000000</v>
      </c>
      <c r="O7" s="31">
        <v>1</v>
      </c>
      <c r="P7" s="31">
        <v>5000000</v>
      </c>
      <c r="Q7" s="31">
        <v>10000000</v>
      </c>
      <c r="R7" s="4"/>
      <c r="S7" s="28"/>
    </row>
    <row r="8" spans="1:19" s="1" customFormat="1" ht="18.75" x14ac:dyDescent="0.3">
      <c r="A8" s="27">
        <v>4</v>
      </c>
      <c r="B8" s="22" t="s">
        <v>10</v>
      </c>
      <c r="C8" s="10">
        <f t="shared" si="3"/>
        <v>31</v>
      </c>
      <c r="D8" s="10">
        <f t="shared" si="0"/>
        <v>35</v>
      </c>
      <c r="E8" s="3">
        <f t="shared" si="1"/>
        <v>276224000</v>
      </c>
      <c r="F8" s="3">
        <f t="shared" si="2"/>
        <v>1032500002</v>
      </c>
      <c r="G8" s="3">
        <v>27</v>
      </c>
      <c r="H8" s="3">
        <v>30</v>
      </c>
      <c r="I8" s="26">
        <v>219045000</v>
      </c>
      <c r="J8" s="3">
        <v>824000002</v>
      </c>
      <c r="K8" s="3">
        <v>4</v>
      </c>
      <c r="L8" s="6">
        <v>5</v>
      </c>
      <c r="M8" s="3">
        <f>25000000+17709000+14470000</f>
        <v>57179000</v>
      </c>
      <c r="N8" s="3">
        <f>45000000+100000000+63500000</f>
        <v>208500000</v>
      </c>
      <c r="O8" s="31">
        <v>9</v>
      </c>
      <c r="P8" s="31">
        <v>112679000</v>
      </c>
      <c r="Q8" s="31">
        <v>512500000</v>
      </c>
      <c r="R8" s="4"/>
      <c r="S8" s="28"/>
    </row>
    <row r="9" spans="1:19" s="1" customFormat="1" ht="18.75" x14ac:dyDescent="0.3">
      <c r="A9" s="27">
        <v>5</v>
      </c>
      <c r="B9" s="21" t="s">
        <v>11</v>
      </c>
      <c r="C9" s="10">
        <f t="shared" si="3"/>
        <v>23</v>
      </c>
      <c r="D9" s="10">
        <f t="shared" si="0"/>
        <v>23</v>
      </c>
      <c r="E9" s="3">
        <f t="shared" si="1"/>
        <v>108645000</v>
      </c>
      <c r="F9" s="3">
        <f t="shared" si="2"/>
        <v>315095000</v>
      </c>
      <c r="G9" s="3">
        <v>23</v>
      </c>
      <c r="H9" s="3">
        <v>23</v>
      </c>
      <c r="I9" s="26">
        <v>108645000</v>
      </c>
      <c r="J9" s="3">
        <v>315095000</v>
      </c>
      <c r="K9" s="3"/>
      <c r="L9" s="4"/>
      <c r="M9" s="4"/>
      <c r="N9" s="4"/>
      <c r="O9" s="31"/>
      <c r="P9" s="31"/>
      <c r="Q9" s="31"/>
      <c r="R9" s="4">
        <v>4474576.18</v>
      </c>
      <c r="S9" s="28">
        <f t="shared" ref="S9:S16" si="4">R9/E9</f>
        <v>4.1185293202632423E-2</v>
      </c>
    </row>
    <row r="10" spans="1:19" s="1" customFormat="1" ht="18.75" x14ac:dyDescent="0.3">
      <c r="A10" s="27">
        <v>6</v>
      </c>
      <c r="B10" s="21" t="s">
        <v>12</v>
      </c>
      <c r="C10" s="10">
        <f t="shared" si="3"/>
        <v>6</v>
      </c>
      <c r="D10" s="10">
        <f t="shared" si="0"/>
        <v>7</v>
      </c>
      <c r="E10" s="3">
        <f t="shared" si="1"/>
        <v>12495834</v>
      </c>
      <c r="F10" s="3">
        <f t="shared" si="2"/>
        <v>30625000</v>
      </c>
      <c r="G10" s="3">
        <v>4</v>
      </c>
      <c r="H10" s="3">
        <v>4</v>
      </c>
      <c r="I10" s="26">
        <v>7262500</v>
      </c>
      <c r="J10" s="3">
        <v>18525000</v>
      </c>
      <c r="K10" s="3">
        <v>2</v>
      </c>
      <c r="L10" s="3">
        <v>3</v>
      </c>
      <c r="M10" s="4">
        <v>5233334</v>
      </c>
      <c r="N10" s="4">
        <v>12100000</v>
      </c>
      <c r="O10" s="31">
        <v>2</v>
      </c>
      <c r="P10" s="31">
        <v>2733334</v>
      </c>
      <c r="Q10" s="31">
        <v>7100000</v>
      </c>
      <c r="R10" s="4"/>
      <c r="S10" s="28"/>
    </row>
    <row r="11" spans="1:19" s="1" customFormat="1" ht="18.75" x14ac:dyDescent="0.3">
      <c r="A11" s="27">
        <v>7</v>
      </c>
      <c r="B11" s="21" t="s">
        <v>13</v>
      </c>
      <c r="C11" s="10">
        <f t="shared" si="3"/>
        <v>21</v>
      </c>
      <c r="D11" s="10">
        <f t="shared" si="0"/>
        <v>24</v>
      </c>
      <c r="E11" s="3">
        <f t="shared" si="1"/>
        <v>147585000</v>
      </c>
      <c r="F11" s="3">
        <f t="shared" si="2"/>
        <v>429782800</v>
      </c>
      <c r="G11" s="3">
        <v>18</v>
      </c>
      <c r="H11" s="3">
        <v>21</v>
      </c>
      <c r="I11" s="26">
        <v>94085000</v>
      </c>
      <c r="J11" s="3">
        <v>262782800</v>
      </c>
      <c r="K11" s="3">
        <v>3</v>
      </c>
      <c r="L11" s="4">
        <v>3</v>
      </c>
      <c r="M11" s="4">
        <f>25000000+3500000+25000000</f>
        <v>53500000</v>
      </c>
      <c r="N11" s="4">
        <f>100000000+7000000+60000000</f>
        <v>167000000</v>
      </c>
      <c r="O11" s="31">
        <v>4</v>
      </c>
      <c r="P11" s="31">
        <v>58900000</v>
      </c>
      <c r="Q11" s="31">
        <v>204280000</v>
      </c>
      <c r="R11" s="4"/>
      <c r="S11" s="28"/>
    </row>
    <row r="12" spans="1:19" s="1" customFormat="1" ht="18.75" x14ac:dyDescent="0.3">
      <c r="A12" s="27">
        <v>8</v>
      </c>
      <c r="B12" s="21" t="s">
        <v>15</v>
      </c>
      <c r="C12" s="10">
        <f t="shared" si="3"/>
        <v>4</v>
      </c>
      <c r="D12" s="10">
        <f t="shared" si="0"/>
        <v>5</v>
      </c>
      <c r="E12" s="3">
        <f t="shared" si="1"/>
        <v>8020919</v>
      </c>
      <c r="F12" s="3">
        <f t="shared" si="2"/>
        <v>17441838</v>
      </c>
      <c r="G12" s="3">
        <v>3</v>
      </c>
      <c r="H12" s="3">
        <v>3</v>
      </c>
      <c r="I12" s="26">
        <v>5775000</v>
      </c>
      <c r="J12" s="3">
        <v>12950000</v>
      </c>
      <c r="K12" s="3">
        <v>1</v>
      </c>
      <c r="L12" s="4">
        <v>2</v>
      </c>
      <c r="M12" s="4">
        <v>2245919</v>
      </c>
      <c r="N12" s="4">
        <v>4491838</v>
      </c>
      <c r="O12" s="31">
        <v>2</v>
      </c>
      <c r="P12" s="31">
        <v>1475000</v>
      </c>
      <c r="Q12" s="31">
        <v>2950000</v>
      </c>
      <c r="R12" s="4"/>
      <c r="S12" s="28"/>
    </row>
    <row r="13" spans="1:19" s="1" customFormat="1" ht="18.75" x14ac:dyDescent="0.3">
      <c r="A13" s="27">
        <v>9</v>
      </c>
      <c r="B13" s="21" t="s">
        <v>14</v>
      </c>
      <c r="C13" s="10">
        <f t="shared" si="3"/>
        <v>126</v>
      </c>
      <c r="D13" s="10">
        <f t="shared" si="0"/>
        <v>136</v>
      </c>
      <c r="E13" s="3">
        <f t="shared" si="1"/>
        <v>564921666.26999998</v>
      </c>
      <c r="F13" s="3">
        <f t="shared" si="2"/>
        <v>1386505511.53</v>
      </c>
      <c r="G13" s="3">
        <v>119</v>
      </c>
      <c r="H13" s="3">
        <v>129</v>
      </c>
      <c r="I13" s="26">
        <v>489241666.26999998</v>
      </c>
      <c r="J13" s="3">
        <v>1167505511.53</v>
      </c>
      <c r="K13" s="3">
        <v>7</v>
      </c>
      <c r="L13" s="4">
        <v>7</v>
      </c>
      <c r="M13" s="4">
        <f>5000000+28000000+1000000+21680000+20000000</f>
        <v>75680000</v>
      </c>
      <c r="N13" s="4">
        <f>22000000+76000000+71500000+49500000</f>
        <v>219000000</v>
      </c>
      <c r="O13" s="31">
        <v>24</v>
      </c>
      <c r="P13" s="31">
        <v>177874667.27000001</v>
      </c>
      <c r="Q13" s="31">
        <v>433929934.52999997</v>
      </c>
      <c r="R13" s="4"/>
      <c r="S13" s="28"/>
    </row>
    <row r="14" spans="1:19" s="1" customFormat="1" ht="18.75" x14ac:dyDescent="0.3">
      <c r="A14" s="27">
        <v>10</v>
      </c>
      <c r="B14" s="21" t="s">
        <v>16</v>
      </c>
      <c r="C14" s="10">
        <f t="shared" si="3"/>
        <v>47</v>
      </c>
      <c r="D14" s="10">
        <f t="shared" si="0"/>
        <v>47</v>
      </c>
      <c r="E14" s="3">
        <f t="shared" si="1"/>
        <v>66810000</v>
      </c>
      <c r="F14" s="3">
        <f t="shared" si="2"/>
        <v>150700000</v>
      </c>
      <c r="G14" s="3">
        <v>47</v>
      </c>
      <c r="H14" s="3">
        <v>47</v>
      </c>
      <c r="I14" s="26">
        <v>66810000</v>
      </c>
      <c r="J14" s="3">
        <v>150700000</v>
      </c>
      <c r="K14" s="3"/>
      <c r="L14" s="4"/>
      <c r="M14" s="3"/>
      <c r="N14" s="3"/>
      <c r="O14" s="31"/>
      <c r="P14" s="31"/>
      <c r="Q14" s="31"/>
      <c r="R14" s="4"/>
      <c r="S14" s="28"/>
    </row>
    <row r="15" spans="1:19" s="1" customFormat="1" ht="18.75" x14ac:dyDescent="0.3">
      <c r="A15" s="27">
        <v>11</v>
      </c>
      <c r="B15" s="21" t="s">
        <v>17</v>
      </c>
      <c r="C15" s="10">
        <f t="shared" si="3"/>
        <v>1</v>
      </c>
      <c r="D15" s="10">
        <f t="shared" si="0"/>
        <v>1</v>
      </c>
      <c r="E15" s="3">
        <f t="shared" si="1"/>
        <v>6000000</v>
      </c>
      <c r="F15" s="3">
        <f t="shared" si="2"/>
        <v>10000000</v>
      </c>
      <c r="G15" s="3">
        <v>1</v>
      </c>
      <c r="H15" s="3">
        <v>1</v>
      </c>
      <c r="I15" s="26">
        <v>6000000</v>
      </c>
      <c r="J15" s="3">
        <v>10000000</v>
      </c>
      <c r="K15" s="3"/>
      <c r="L15" s="4"/>
      <c r="M15" s="3"/>
      <c r="N15" s="3"/>
      <c r="O15" s="31"/>
      <c r="P15" s="31"/>
      <c r="Q15" s="31"/>
      <c r="R15" s="4"/>
      <c r="S15" s="28"/>
    </row>
    <row r="16" spans="1:19" s="1" customFormat="1" ht="18.75" x14ac:dyDescent="0.3">
      <c r="A16" s="27">
        <v>12</v>
      </c>
      <c r="B16" s="21" t="s">
        <v>18</v>
      </c>
      <c r="C16" s="10">
        <f t="shared" si="3"/>
        <v>22</v>
      </c>
      <c r="D16" s="10">
        <f t="shared" si="0"/>
        <v>32</v>
      </c>
      <c r="E16" s="3">
        <f t="shared" si="1"/>
        <v>165100135.80000001</v>
      </c>
      <c r="F16" s="3">
        <f t="shared" si="2"/>
        <v>590290499</v>
      </c>
      <c r="G16" s="3">
        <v>14</v>
      </c>
      <c r="H16" s="3">
        <v>20</v>
      </c>
      <c r="I16" s="26">
        <v>92157000</v>
      </c>
      <c r="J16" s="3">
        <v>297301000</v>
      </c>
      <c r="K16" s="3">
        <f>1+2+2+1+1+1</f>
        <v>8</v>
      </c>
      <c r="L16" s="4">
        <f>3+2+2+3+1+1</f>
        <v>12</v>
      </c>
      <c r="M16" s="3">
        <f>8123135.8+11430000+17400000+24650000+4900000+6440000</f>
        <v>72943135.799999997</v>
      </c>
      <c r="N16" s="3">
        <f>17009499+38100000+140000000+67000000+18000000+12880000</f>
        <v>292989499</v>
      </c>
      <c r="O16" s="31">
        <v>18</v>
      </c>
      <c r="P16" s="31">
        <v>99373635.799999997</v>
      </c>
      <c r="Q16" s="31">
        <v>312490499</v>
      </c>
      <c r="R16" s="4">
        <v>2603871.14</v>
      </c>
      <c r="S16" s="28">
        <f t="shared" si="4"/>
        <v>1.5771465767625371E-2</v>
      </c>
    </row>
    <row r="17" spans="1:19" s="1" customFormat="1" ht="18.75" x14ac:dyDescent="0.3">
      <c r="A17" s="27">
        <v>13</v>
      </c>
      <c r="B17" s="9" t="s">
        <v>19</v>
      </c>
      <c r="C17" s="10">
        <f t="shared" si="3"/>
        <v>1</v>
      </c>
      <c r="D17" s="10">
        <f t="shared" si="0"/>
        <v>1</v>
      </c>
      <c r="E17" s="3">
        <f t="shared" si="1"/>
        <v>10000000</v>
      </c>
      <c r="F17" s="3">
        <f t="shared" si="2"/>
        <v>50000000</v>
      </c>
      <c r="G17" s="3">
        <v>1</v>
      </c>
      <c r="H17" s="3">
        <v>1</v>
      </c>
      <c r="I17" s="26">
        <v>10000000</v>
      </c>
      <c r="J17" s="3">
        <v>50000000</v>
      </c>
      <c r="K17" s="3"/>
      <c r="L17" s="4"/>
      <c r="M17" s="3"/>
      <c r="N17" s="3"/>
      <c r="O17" s="31"/>
      <c r="P17" s="31"/>
      <c r="Q17" s="31"/>
      <c r="R17" s="4"/>
      <c r="S17" s="28"/>
    </row>
    <row r="18" spans="1:19" s="1" customFormat="1" ht="18.75" x14ac:dyDescent="0.3">
      <c r="A18" s="27">
        <v>14</v>
      </c>
      <c r="B18" s="9" t="s">
        <v>20</v>
      </c>
      <c r="C18" s="10">
        <f t="shared" si="3"/>
        <v>28</v>
      </c>
      <c r="D18" s="10">
        <f t="shared" si="0"/>
        <v>31</v>
      </c>
      <c r="E18" s="3">
        <f t="shared" si="1"/>
        <v>289874305.86000001</v>
      </c>
      <c r="F18" s="3">
        <f t="shared" si="2"/>
        <v>732296869</v>
      </c>
      <c r="G18" s="3">
        <v>19</v>
      </c>
      <c r="H18" s="3">
        <v>21</v>
      </c>
      <c r="I18" s="26">
        <v>186944305.86000001</v>
      </c>
      <c r="J18" s="3">
        <v>466096869</v>
      </c>
      <c r="K18" s="3">
        <v>9</v>
      </c>
      <c r="L18" s="4">
        <v>10</v>
      </c>
      <c r="M18" s="3">
        <f>14000000+19700000+8000000+4130000+31100000+26000000</f>
        <v>102930000</v>
      </c>
      <c r="N18" s="3">
        <f>28000000+45000000+30000000+10000000+69700000+83500000</f>
        <v>266200000</v>
      </c>
      <c r="O18" s="31">
        <v>19</v>
      </c>
      <c r="P18" s="31">
        <v>182821100</v>
      </c>
      <c r="Q18" s="31">
        <v>509830000</v>
      </c>
      <c r="R18" s="4"/>
      <c r="S18" s="28"/>
    </row>
    <row r="19" spans="1:19" s="1" customFormat="1" ht="20.25" customHeight="1" x14ac:dyDescent="0.3">
      <c r="A19" s="27">
        <v>15</v>
      </c>
      <c r="B19" s="9" t="s">
        <v>35</v>
      </c>
      <c r="C19" s="10">
        <f t="shared" si="3"/>
        <v>44</v>
      </c>
      <c r="D19" s="10">
        <f t="shared" si="0"/>
        <v>46</v>
      </c>
      <c r="E19" s="3">
        <f t="shared" si="1"/>
        <v>61093114</v>
      </c>
      <c r="F19" s="3">
        <f t="shared" si="2"/>
        <v>214540234</v>
      </c>
      <c r="G19" s="3">
        <v>22</v>
      </c>
      <c r="H19" s="3">
        <v>23</v>
      </c>
      <c r="I19" s="26">
        <v>30667124</v>
      </c>
      <c r="J19" s="3">
        <v>116373244</v>
      </c>
      <c r="K19" s="3">
        <v>22</v>
      </c>
      <c r="L19" s="4">
        <v>23</v>
      </c>
      <c r="M19" s="3">
        <f>225000+2254000+1524990+8385000+3235000+690000+3983000+8375000+400000+1354000</f>
        <v>30425990</v>
      </c>
      <c r="N19" s="3">
        <f>1500000+7870000+8499990+21230000+10000000+4200000+10917000+21400000+4000000+8550000</f>
        <v>98166990</v>
      </c>
      <c r="O19" s="31">
        <v>40</v>
      </c>
      <c r="P19" s="31">
        <v>58602614</v>
      </c>
      <c r="Q19" s="31">
        <v>199010234</v>
      </c>
      <c r="R19" s="4"/>
      <c r="S19" s="28"/>
    </row>
    <row r="20" spans="1:19" s="1" customFormat="1" ht="20.25" customHeight="1" x14ac:dyDescent="0.3">
      <c r="A20" s="27">
        <v>16</v>
      </c>
      <c r="B20" s="9" t="s">
        <v>30</v>
      </c>
      <c r="C20" s="10">
        <f t="shared" si="3"/>
        <v>0</v>
      </c>
      <c r="D20" s="10">
        <f t="shared" si="0"/>
        <v>0</v>
      </c>
      <c r="E20" s="3">
        <f t="shared" si="1"/>
        <v>0</v>
      </c>
      <c r="F20" s="3">
        <f t="shared" si="2"/>
        <v>0</v>
      </c>
      <c r="G20" s="3">
        <v>0</v>
      </c>
      <c r="H20" s="3">
        <v>0</v>
      </c>
      <c r="I20" s="26">
        <v>0</v>
      </c>
      <c r="J20" s="3">
        <v>0</v>
      </c>
      <c r="K20" s="3"/>
      <c r="L20" s="4"/>
      <c r="M20" s="3"/>
      <c r="N20" s="3"/>
      <c r="O20" s="31"/>
      <c r="P20" s="31"/>
      <c r="Q20" s="31"/>
      <c r="R20" s="4"/>
      <c r="S20" s="28"/>
    </row>
    <row r="21" spans="1:19" s="1" customFormat="1" ht="20.25" customHeight="1" x14ac:dyDescent="0.3">
      <c r="A21" s="27">
        <v>17</v>
      </c>
      <c r="B21" s="9" t="s">
        <v>32</v>
      </c>
      <c r="C21" s="10">
        <f t="shared" si="3"/>
        <v>1</v>
      </c>
      <c r="D21" s="10">
        <f t="shared" si="0"/>
        <v>1</v>
      </c>
      <c r="E21" s="3">
        <f t="shared" si="1"/>
        <v>2800000</v>
      </c>
      <c r="F21" s="3">
        <f t="shared" si="2"/>
        <v>35000000</v>
      </c>
      <c r="G21" s="3">
        <v>1</v>
      </c>
      <c r="H21" s="3">
        <v>1</v>
      </c>
      <c r="I21" s="26">
        <v>2800000</v>
      </c>
      <c r="J21" s="3">
        <v>35000000</v>
      </c>
      <c r="K21" s="3"/>
      <c r="L21" s="4"/>
      <c r="M21" s="3"/>
      <c r="N21" s="3"/>
      <c r="O21" s="31">
        <v>1</v>
      </c>
      <c r="P21" s="31">
        <v>2800000</v>
      </c>
      <c r="Q21" s="31">
        <v>35000000</v>
      </c>
      <c r="R21" s="4"/>
      <c r="S21" s="28"/>
    </row>
    <row r="22" spans="1:19" s="1" customFormat="1" ht="20.25" customHeight="1" x14ac:dyDescent="0.3">
      <c r="A22" s="29">
        <v>18</v>
      </c>
      <c r="B22" s="9" t="s">
        <v>39</v>
      </c>
      <c r="C22" s="10">
        <f t="shared" ref="C22:C23" si="5">G22+K22</f>
        <v>0</v>
      </c>
      <c r="D22" s="10">
        <f t="shared" ref="D22:D23" si="6">H22+L22</f>
        <v>0</v>
      </c>
      <c r="E22" s="3">
        <f t="shared" ref="E22:E23" si="7">I22+M22</f>
        <v>0</v>
      </c>
      <c r="F22" s="3">
        <f t="shared" ref="F22:F23" si="8">J22+N22</f>
        <v>0</v>
      </c>
      <c r="G22" s="3"/>
      <c r="H22" s="3"/>
      <c r="I22" s="26"/>
      <c r="J22" s="3"/>
      <c r="K22" s="3"/>
      <c r="L22" s="4"/>
      <c r="M22" s="3"/>
      <c r="N22" s="3"/>
      <c r="O22" s="31"/>
      <c r="P22" s="31"/>
      <c r="Q22" s="31"/>
      <c r="R22" s="4"/>
      <c r="S22" s="28"/>
    </row>
    <row r="23" spans="1:19" s="1" customFormat="1" ht="20.25" customHeight="1" x14ac:dyDescent="0.3">
      <c r="A23" s="33">
        <v>19</v>
      </c>
      <c r="B23" s="9" t="s">
        <v>40</v>
      </c>
      <c r="C23" s="10">
        <f t="shared" si="5"/>
        <v>0</v>
      </c>
      <c r="D23" s="10">
        <f t="shared" si="6"/>
        <v>0</v>
      </c>
      <c r="E23" s="3">
        <f t="shared" si="7"/>
        <v>0</v>
      </c>
      <c r="F23" s="3">
        <f t="shared" si="8"/>
        <v>0</v>
      </c>
      <c r="G23" s="3"/>
      <c r="H23" s="3"/>
      <c r="I23" s="26"/>
      <c r="J23" s="3"/>
      <c r="K23" s="3"/>
      <c r="L23" s="4"/>
      <c r="M23" s="3"/>
      <c r="N23" s="3"/>
      <c r="O23" s="31"/>
      <c r="P23" s="31"/>
      <c r="Q23" s="31"/>
      <c r="R23" s="4"/>
      <c r="S23" s="28"/>
    </row>
    <row r="24" spans="1:19" s="1" customFormat="1" ht="19.5" customHeight="1" x14ac:dyDescent="0.3">
      <c r="A24" s="17"/>
      <c r="B24" s="11" t="s">
        <v>0</v>
      </c>
      <c r="C24" s="10">
        <f>(G24+K24)</f>
        <v>170</v>
      </c>
      <c r="D24" s="10">
        <f>(H24+L24)</f>
        <v>180</v>
      </c>
      <c r="E24" s="3">
        <f>(I24+M24)</f>
        <v>518056398</v>
      </c>
      <c r="F24" s="3">
        <f>(J24+N24)</f>
        <v>1383366354.4000001</v>
      </c>
      <c r="G24" s="3">
        <v>168</v>
      </c>
      <c r="H24" s="3">
        <v>178</v>
      </c>
      <c r="I24" s="26">
        <v>512056398</v>
      </c>
      <c r="J24" s="3">
        <v>1371366354.4000001</v>
      </c>
      <c r="K24" s="3">
        <v>2</v>
      </c>
      <c r="L24" s="3">
        <v>2</v>
      </c>
      <c r="M24" s="3">
        <f>2500000+3500000</f>
        <v>6000000</v>
      </c>
      <c r="N24" s="3">
        <f>5000000+7000000</f>
        <v>12000000</v>
      </c>
      <c r="O24" s="31">
        <v>1</v>
      </c>
      <c r="P24" s="31">
        <v>2500000</v>
      </c>
      <c r="Q24" s="31">
        <v>5000000</v>
      </c>
      <c r="R24" s="4">
        <v>7013369.3300000001</v>
      </c>
      <c r="S24" s="28">
        <f>R24/E24</f>
        <v>1.3537849077968534E-2</v>
      </c>
    </row>
    <row r="25" spans="1:19" s="2" customFormat="1" ht="15.75" x14ac:dyDescent="0.25">
      <c r="A25" s="18"/>
      <c r="B25" s="12" t="s">
        <v>1</v>
      </c>
      <c r="C25" s="13">
        <f>G25+K25</f>
        <v>909</v>
      </c>
      <c r="D25" s="13">
        <f t="shared" ref="D25" si="9">H25+L25</f>
        <v>994</v>
      </c>
      <c r="E25" s="14">
        <f>I25+M25</f>
        <v>4015978790.0599995</v>
      </c>
      <c r="F25" s="14">
        <f>J25+N25</f>
        <v>11240404984.93</v>
      </c>
      <c r="G25" s="15">
        <f t="shared" ref="G25:Q25" si="10">SUM(G5:G24)</f>
        <v>790</v>
      </c>
      <c r="H25" s="15">
        <f t="shared" si="10"/>
        <v>858</v>
      </c>
      <c r="I25" s="15">
        <f t="shared" si="10"/>
        <v>3216384613.2599998</v>
      </c>
      <c r="J25" s="15">
        <f t="shared" si="10"/>
        <v>8941886801.9300003</v>
      </c>
      <c r="K25" s="16">
        <f>SUM(K5:K24)</f>
        <v>119</v>
      </c>
      <c r="L25" s="16">
        <f t="shared" si="10"/>
        <v>136</v>
      </c>
      <c r="M25" s="16">
        <f t="shared" si="10"/>
        <v>799594176.79999995</v>
      </c>
      <c r="N25" s="16">
        <f t="shared" si="10"/>
        <v>2298518183</v>
      </c>
      <c r="O25" s="32">
        <f t="shared" si="10"/>
        <v>222</v>
      </c>
      <c r="P25" s="32">
        <f t="shared" si="10"/>
        <v>1207473163.3699999</v>
      </c>
      <c r="Q25" s="32">
        <f t="shared" si="10"/>
        <v>3537549609.5299997</v>
      </c>
      <c r="R25" s="46">
        <f>SUM(R5:R24)</f>
        <v>19245575.829999998</v>
      </c>
      <c r="S25" s="47">
        <f>R25/E25</f>
        <v>4.7922503668682143E-3</v>
      </c>
    </row>
    <row r="27" spans="1:19" ht="15.75" customHeight="1" x14ac:dyDescent="0.25">
      <c r="E27" s="7"/>
    </row>
    <row r="28" spans="1:19" x14ac:dyDescent="0.25">
      <c r="M28" s="7"/>
      <c r="N28" s="7"/>
    </row>
    <row r="29" spans="1:19" x14ac:dyDescent="0.25">
      <c r="D29" s="23"/>
      <c r="E29" s="25"/>
      <c r="F29" s="23"/>
      <c r="G29" s="23"/>
      <c r="H29" s="7"/>
      <c r="I29" s="7"/>
      <c r="J29" s="7"/>
      <c r="K29" s="7"/>
      <c r="L29" s="24"/>
      <c r="M29" s="7"/>
      <c r="N29" s="7"/>
    </row>
    <row r="30" spans="1:19" x14ac:dyDescent="0.25">
      <c r="L30" s="7"/>
      <c r="M30" s="7"/>
      <c r="N30" s="7"/>
    </row>
    <row r="31" spans="1:19" x14ac:dyDescent="0.25">
      <c r="E31" s="7"/>
      <c r="L31" s="7"/>
      <c r="M31" s="7"/>
    </row>
    <row r="32" spans="1:19" x14ac:dyDescent="0.25">
      <c r="L32" s="7"/>
      <c r="M32" s="7"/>
    </row>
    <row r="33" spans="4:12" x14ac:dyDescent="0.25">
      <c r="D33" s="23"/>
      <c r="K33" s="7"/>
      <c r="L33" s="7"/>
    </row>
    <row r="34" spans="4:12" x14ac:dyDescent="0.25">
      <c r="D34" s="23"/>
    </row>
  </sheetData>
  <mergeCells count="9">
    <mergeCell ref="R3:R4"/>
    <mergeCell ref="S3:S4"/>
    <mergeCell ref="O3:Q3"/>
    <mergeCell ref="A1:Q2"/>
    <mergeCell ref="A3:A4"/>
    <mergeCell ref="B3:B4"/>
    <mergeCell ref="K3:N3"/>
    <mergeCell ref="C3:F3"/>
    <mergeCell ref="G3:J3"/>
  </mergeCells>
  <pageMargins left="3.937007874015748E-2" right="3.937007874015748E-2" top="1.0236220472440944" bottom="3.937007874015748E-2" header="0.31496062992125984" footer="0.31496062992125984"/>
  <pageSetup paperSize="9" scale="5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поручительства Фонда</vt:lpstr>
      <vt:lpstr>'поручительства Фонда'!Область_печати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Procenko</dc:creator>
  <cp:lastModifiedBy>gl_econ</cp:lastModifiedBy>
  <cp:lastPrinted>2020-12-21T09:27:17Z</cp:lastPrinted>
  <dcterms:created xsi:type="dcterms:W3CDTF">2012-01-25T08:03:53Z</dcterms:created>
  <dcterms:modified xsi:type="dcterms:W3CDTF">2022-01-13T08:03:49Z</dcterms:modified>
</cp:coreProperties>
</file>