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тародумова\Рабочая\Отчеты\Алтайский фонд МСП\На сайт(ежемесячно)\2019\на 01.01.2020\"/>
    </mc:Choice>
  </mc:AlternateContent>
  <bookViews>
    <workbookView xWindow="0" yWindow="0" windowWidth="20490" windowHeight="7755"/>
  </bookViews>
  <sheets>
    <sheet name="поручительства Фонда" sheetId="1" r:id="rId1"/>
  </sheets>
  <externalReferences>
    <externalReference r:id="rId2"/>
  </externalReferences>
  <definedNames>
    <definedName name="_xlnm.Print_Area" localSheetId="0">'поручительства Фонда'!$A$1:$Q$21</definedName>
  </definedNames>
  <calcPr calcId="152511"/>
</workbook>
</file>

<file path=xl/calcChain.xml><?xml version="1.0" encoding="utf-8"?>
<calcChain xmlns="http://schemas.openxmlformats.org/spreadsheetml/2006/main">
  <c r="S6" i="1" l="1"/>
  <c r="T6" i="1"/>
  <c r="T21" i="1" s="1"/>
  <c r="U6" i="1"/>
  <c r="V6" i="1"/>
  <c r="S7" i="1"/>
  <c r="T7" i="1"/>
  <c r="U7" i="1"/>
  <c r="V7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T5" i="1"/>
  <c r="U5" i="1"/>
  <c r="U21" i="1" s="1"/>
  <c r="V5" i="1"/>
  <c r="S5" i="1"/>
  <c r="V21" i="1"/>
  <c r="S21" i="1"/>
  <c r="M5" i="1" l="1"/>
  <c r="L6" i="1"/>
  <c r="K6" i="1"/>
  <c r="N5" i="1"/>
  <c r="L5" i="1"/>
  <c r="K5" i="1"/>
  <c r="N6" i="1"/>
  <c r="M6" i="1"/>
  <c r="N13" i="1"/>
  <c r="M13" i="1"/>
  <c r="L13" i="1"/>
  <c r="K13" i="1"/>
  <c r="N17" i="1" l="1"/>
  <c r="N9" i="1" l="1"/>
  <c r="M9" i="1"/>
  <c r="L9" i="1"/>
  <c r="K9" i="1"/>
  <c r="M17" i="1"/>
  <c r="L17" i="1"/>
  <c r="K17" i="1"/>
  <c r="N19" i="1" l="1"/>
  <c r="M19" i="1"/>
  <c r="L19" i="1"/>
  <c r="K19" i="1"/>
  <c r="C20" i="1" l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K21" i="1"/>
  <c r="C21" i="1" s="1"/>
  <c r="G21" i="1" l="1"/>
  <c r="J20" i="1" l="1"/>
  <c r="I20" i="1"/>
  <c r="H20" i="1"/>
  <c r="J7" i="1"/>
  <c r="I7" i="1"/>
  <c r="H7" i="1"/>
  <c r="F20" i="1" l="1"/>
  <c r="D20" i="1"/>
  <c r="E2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F19" i="1" l="1"/>
  <c r="D19" i="1"/>
  <c r="F18" i="1" l="1"/>
  <c r="D18" i="1"/>
  <c r="F17" i="1" l="1"/>
  <c r="D17" i="1"/>
  <c r="F16" i="1" l="1"/>
  <c r="D16" i="1"/>
  <c r="O21" i="1" l="1"/>
  <c r="P21" i="1"/>
  <c r="Q21" i="1"/>
  <c r="F7" i="1" l="1"/>
  <c r="D7" i="1"/>
  <c r="J21" i="1" l="1"/>
  <c r="H21" i="1" l="1"/>
  <c r="I21" i="1" l="1"/>
  <c r="F14" i="1"/>
  <c r="F15" i="1"/>
  <c r="D13" i="1"/>
  <c r="F13" i="1"/>
  <c r="D14" i="1"/>
  <c r="D15" i="1"/>
  <c r="D5" i="1"/>
  <c r="F5" i="1"/>
  <c r="D9" i="1"/>
  <c r="F9" i="1"/>
  <c r="D11" i="1"/>
  <c r="F11" i="1"/>
  <c r="D10" i="1"/>
  <c r="F10" i="1"/>
  <c r="D12" i="1"/>
  <c r="F12" i="1"/>
  <c r="D6" i="1"/>
  <c r="F6" i="1"/>
  <c r="D8" i="1"/>
  <c r="F8" i="1"/>
  <c r="L21" i="1"/>
  <c r="D21" i="1" s="1"/>
  <c r="N21" i="1"/>
  <c r="F21" i="1" s="1"/>
  <c r="M21" i="1"/>
  <c r="E21" i="1" l="1"/>
  <c r="E5" i="1"/>
</calcChain>
</file>

<file path=xl/comments1.xml><?xml version="1.0" encoding="utf-8"?>
<comments xmlns="http://schemas.openxmlformats.org/spreadsheetml/2006/main">
  <authors>
    <author>Shavolin</author>
  </authors>
  <commentList>
    <comment ref="B20" authorId="0" shapeId="0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<sst xmlns="http://schemas.openxmlformats.org/spreadsheetml/2006/main" count="43" uniqueCount="43">
  <si>
    <t>Наименование банка-партнера</t>
  </si>
  <si>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</si>
  <si>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</si>
  <si>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</si>
  <si>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</si>
  <si>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</si>
  <si>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</si>
  <si>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</si>
  <si>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2007-2018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</si>
  <si>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</si>
  <si>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</si>
  <si>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</si>
  <si>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</si>
  <si>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</si>
  <si>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</si>
  <si>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</si>
  <si>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"СИБСОЦБАНК" ООО</t>
  </si>
  <si>
    <t>АО "Банк Акцепт"</t>
  </si>
  <si>
    <t>АО КБ "ФорБанк"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</si>
  <si>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</si>
  <si>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</si>
  <si>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</si>
  <si>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</si>
  <si>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</si>
  <si>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2007-2019</t>
  </si>
  <si>
    <t>Количество выданных поручительств с начала 2019г., шт.</t>
  </si>
  <si>
    <t>Объем выданных кредитов под поручительство Фонда с начала 2019г., руб.</t>
  </si>
  <si>
    <t>Кол-во субъектов получивших поддержку в 2019г., шт.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</si>
  <si>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</si>
  <si>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</si>
  <si>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</si>
  <si>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</si>
  <si>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</si>
  <si>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</si>
  <si>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</si>
  <si>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 xml:space="preserve">Объем  выданных поручительств с начала 2019г., руб.  </t>
  </si>
  <si>
    <t>Сведения о поручительствах, предоставленных НО "Алтайский фонд МСП", в разрезе банков-партнеров на 01.01.2020 г.</t>
  </si>
  <si>
    <t>Действующие поручительства на 01.01.2020</t>
  </si>
  <si>
    <t>Выдано за 4 квартал</t>
  </si>
  <si>
    <t xml:space="preserve">Кол-во субъектов </t>
  </si>
  <si>
    <t xml:space="preserve">Количество выданных поручительств </t>
  </si>
  <si>
    <t xml:space="preserve">Объем  выданных поручительств </t>
  </si>
  <si>
    <t xml:space="preserve">Объем выданных кредитов под поручительство Фонда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</si>
</sst>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3" fontId="0" fillId="0" borderId="0" xfId="0" applyNumberFormat="1"/>
    <xf numFmtId="3" fontId="4" fillId="0" borderId="0" xfId="0" applyNumberFormat="1" applyFont="1"/>
    <xf numFmtId="4" fontId="0" fillId="0" borderId="0" xfId="0" applyNumberFormat="1" applyFill="1" applyAlignment="1">
      <alignment horizontal="center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86;&#1076;&#1091;&#1084;&#1086;&#1074;&#1072;/&#1056;&#1072;&#1073;&#1086;&#1095;&#1072;&#1103;/&#1054;&#1090;&#1095;&#1077;&#1090;&#1099;/&#1040;&#1083;&#1090;&#1072;&#1081;&#1089;&#1082;&#1080;&#1081;%20&#1092;&#1086;&#1085;&#1076;%20&#1052;&#1057;&#1055;/&#1053;&#1072;%20&#1089;&#1072;&#1081;&#1090;(&#1077;&#1078;&#1077;&#1084;&#1077;&#1089;&#1103;&#1095;&#1085;&#1086;)/2019/&#1085;&#1072;%2001.10.2019/&#1042;&#1099;&#1076;&#1072;&#1085;&#1085;&#1099;&#1077;%20&#1087;&#1086;&#1088;&#1091;&#1095;&#1080;&#1090;&#1077;&#1083;&#1100;&#1089;&#1090;&#1074;&#1072;%20&#1085;&#1072;%2001.10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учительства Фонда"/>
    </sheetNames>
    <sheetDataSet>
      <sheetData sheetId="0">
        <row r="5">
          <cell r="K5">
            <v>9</v>
          </cell>
          <cell r="L5">
            <v>9</v>
          </cell>
          <cell r="M5">
            <v>79469000</v>
          </cell>
          <cell r="N5">
            <v>170280000</v>
          </cell>
        </row>
        <row r="6">
          <cell r="K6">
            <v>5</v>
          </cell>
          <cell r="L6">
            <v>5</v>
          </cell>
          <cell r="M6">
            <v>32300000</v>
          </cell>
          <cell r="N6">
            <v>88750000</v>
          </cell>
        </row>
        <row r="7">
          <cell r="K7">
            <v>2</v>
          </cell>
          <cell r="L7">
            <v>2</v>
          </cell>
          <cell r="M7">
            <v>30000000</v>
          </cell>
          <cell r="N7">
            <v>60000000</v>
          </cell>
        </row>
        <row r="9">
          <cell r="K9">
            <v>2</v>
          </cell>
          <cell r="L9">
            <v>2</v>
          </cell>
          <cell r="M9">
            <v>6650000</v>
          </cell>
          <cell r="N9">
            <v>49500000</v>
          </cell>
        </row>
        <row r="10">
          <cell r="K10">
            <v>1</v>
          </cell>
          <cell r="L10">
            <v>1</v>
          </cell>
          <cell r="M10">
            <v>1262500</v>
          </cell>
          <cell r="N10">
            <v>2525000</v>
          </cell>
        </row>
        <row r="11">
          <cell r="K11">
            <v>1</v>
          </cell>
          <cell r="L11">
            <v>1</v>
          </cell>
          <cell r="M11">
            <v>3500000</v>
          </cell>
          <cell r="N11">
            <v>7000000</v>
          </cell>
        </row>
        <row r="13">
          <cell r="K13">
            <v>7</v>
          </cell>
          <cell r="L13">
            <v>7</v>
          </cell>
          <cell r="M13">
            <v>55349667.270000003</v>
          </cell>
          <cell r="N13">
            <v>107984334.53</v>
          </cell>
        </row>
        <row r="14">
          <cell r="K14">
            <v>1</v>
          </cell>
          <cell r="L14">
            <v>1</v>
          </cell>
          <cell r="M14">
            <v>15000000</v>
          </cell>
          <cell r="N14">
            <v>31000000</v>
          </cell>
        </row>
        <row r="15">
          <cell r="K15">
            <v>1</v>
          </cell>
          <cell r="L15">
            <v>1</v>
          </cell>
          <cell r="M15">
            <v>3500000</v>
          </cell>
          <cell r="N15">
            <v>7000000</v>
          </cell>
        </row>
        <row r="16">
          <cell r="K16">
            <v>1</v>
          </cell>
          <cell r="L16">
            <v>1</v>
          </cell>
          <cell r="M16">
            <v>6000000</v>
          </cell>
          <cell r="N16">
            <v>10000000</v>
          </cell>
        </row>
        <row r="17">
          <cell r="K17">
            <v>2</v>
          </cell>
          <cell r="L17">
            <v>4</v>
          </cell>
          <cell r="M17">
            <v>14380000</v>
          </cell>
          <cell r="N17">
            <v>31000000</v>
          </cell>
        </row>
        <row r="19">
          <cell r="K19">
            <v>9</v>
          </cell>
          <cell r="L19">
            <v>11</v>
          </cell>
          <cell r="M19">
            <v>120953205.86</v>
          </cell>
          <cell r="N19">
            <v>260096869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75" zoomScaleNormal="75" workbookViewId="0">
      <selection sqref="A1:Q2"/>
    </sheetView>
  </sheetViews>
  <sheetFormatPr defaultRowHeight="15" x14ac:dyDescent="0.25"/>
  <cols>
    <col min="2" max="2" width="37.85546875" customWidth="1"/>
    <col min="3" max="3" width="19.85546875" customWidth="1"/>
    <col min="4" max="4" width="18.28515625" customWidth="1"/>
    <col min="5" max="5" width="18.42578125" style="8" customWidth="1"/>
    <col min="6" max="6" width="23.140625" style="8" customWidth="1"/>
    <col min="7" max="7" width="18.140625" style="8" hidden="1" customWidth="1"/>
    <col min="8" max="8" width="20" style="8" hidden="1" customWidth="1"/>
    <col min="9" max="9" width="18.7109375" style="8" hidden="1" customWidth="1"/>
    <col min="10" max="10" width="21" style="8" hidden="1" customWidth="1"/>
    <col min="11" max="11" width="19.140625" style="8" customWidth="1"/>
    <col min="12" max="12" width="16.85546875" style="8" customWidth="1"/>
    <col min="13" max="13" width="17.28515625" style="8" customWidth="1"/>
    <col min="14" max="14" width="19.5703125" style="8" customWidth="1"/>
    <col min="15" max="15" width="18" customWidth="1"/>
    <col min="16" max="16" width="19.140625" customWidth="1"/>
    <col min="17" max="17" width="19" customWidth="1"/>
    <col min="19" max="19" width="13.7109375" customWidth="1"/>
    <col min="20" max="21" width="16.5703125" customWidth="1"/>
    <col min="22" max="22" width="21" customWidth="1"/>
    <col min="24" max="24" width="16.42578125" customWidth="1"/>
  </cols>
  <sheetData>
    <row r="1" spans="1:24" ht="34.5" customHeight="1" x14ac:dyDescent="0.2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4" s="1" customFormat="1" ht="15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4" s="1" customFormat="1" ht="23.25" customHeight="1" x14ac:dyDescent="0.25">
      <c r="A3" s="38" t="s">
        <v>5</v>
      </c>
      <c r="B3" s="39" t="s">
        <v>0</v>
      </c>
      <c r="C3" s="43" t="s">
        <v>24</v>
      </c>
      <c r="D3" s="44"/>
      <c r="E3" s="44"/>
      <c r="F3" s="45"/>
      <c r="G3" s="40" t="s">
        <v>8</v>
      </c>
      <c r="H3" s="41"/>
      <c r="I3" s="41"/>
      <c r="J3" s="42"/>
      <c r="K3" s="40">
        <v>2019</v>
      </c>
      <c r="L3" s="41"/>
      <c r="M3" s="41"/>
      <c r="N3" s="42"/>
      <c r="O3" s="35" t="s">
        <v>37</v>
      </c>
      <c r="P3" s="35"/>
      <c r="Q3" s="35"/>
      <c r="S3" s="40" t="s">
        <v>38</v>
      </c>
      <c r="T3" s="41"/>
      <c r="U3" s="41"/>
      <c r="V3" s="42"/>
    </row>
    <row r="4" spans="1:24" s="1" customFormat="1" ht="125.25" customHeight="1" x14ac:dyDescent="0.25">
      <c r="A4" s="38"/>
      <c r="B4" s="39"/>
      <c r="C4" s="19" t="s">
        <v>32</v>
      </c>
      <c r="D4" s="20" t="s">
        <v>4</v>
      </c>
      <c r="E4" s="19" t="s">
        <v>3</v>
      </c>
      <c r="F4" s="19" t="s">
        <v>33</v>
      </c>
      <c r="G4" s="19" t="s">
        <v>28</v>
      </c>
      <c r="H4" s="19" t="s">
        <v>29</v>
      </c>
      <c r="I4" s="19" t="s">
        <v>30</v>
      </c>
      <c r="J4" s="19" t="s">
        <v>31</v>
      </c>
      <c r="K4" s="19" t="s">
        <v>27</v>
      </c>
      <c r="L4" s="19" t="s">
        <v>25</v>
      </c>
      <c r="M4" s="19" t="s">
        <v>35</v>
      </c>
      <c r="N4" s="19" t="s">
        <v>26</v>
      </c>
      <c r="O4" s="21" t="s">
        <v>34</v>
      </c>
      <c r="P4" s="21" t="s">
        <v>6</v>
      </c>
      <c r="Q4" s="21" t="s">
        <v>7</v>
      </c>
      <c r="S4" s="19" t="s">
        <v>39</v>
      </c>
      <c r="T4" s="19" t="s">
        <v>40</v>
      </c>
      <c r="U4" s="19" t="s">
        <v>41</v>
      </c>
      <c r="V4" s="19" t="s">
        <v>42</v>
      </c>
    </row>
    <row r="5" spans="1:24" s="1" customFormat="1" ht="18.75" x14ac:dyDescent="0.3">
      <c r="A5" s="17">
        <v>1</v>
      </c>
      <c r="B5" s="26" t="s">
        <v>9</v>
      </c>
      <c r="C5" s="10">
        <f>G5+K5</f>
        <v>231</v>
      </c>
      <c r="D5" s="10">
        <f t="shared" ref="D5:D20" si="0">H5+L5</f>
        <v>248</v>
      </c>
      <c r="E5" s="3">
        <f t="shared" ref="E5:E20" si="1">I5+M5</f>
        <v>870741595.32999992</v>
      </c>
      <c r="F5" s="3">
        <f t="shared" ref="F5:F20" si="2">J5+N5</f>
        <v>2379530286</v>
      </c>
      <c r="G5" s="3">
        <v>213</v>
      </c>
      <c r="H5" s="3">
        <v>230</v>
      </c>
      <c r="I5" s="33">
        <v>745060264.82999992</v>
      </c>
      <c r="J5" s="3">
        <v>2111801042</v>
      </c>
      <c r="K5" s="3">
        <f>6+3+1+4+4</f>
        <v>18</v>
      </c>
      <c r="L5" s="4">
        <f>6+3+1+4+4</f>
        <v>18</v>
      </c>
      <c r="M5" s="34">
        <f>89469000+12869330.5+23343000</f>
        <v>125681330.5</v>
      </c>
      <c r="N5" s="4">
        <f>190280000+26579244+50870000</f>
        <v>267729244</v>
      </c>
      <c r="O5" s="22">
        <v>24</v>
      </c>
      <c r="P5" s="22">
        <v>168561330.5</v>
      </c>
      <c r="Q5" s="22">
        <v>389089244</v>
      </c>
      <c r="S5" s="3">
        <f>K5-'[1]поручительства Фонда'!K5</f>
        <v>9</v>
      </c>
      <c r="T5" s="3">
        <f>L5-'[1]поручительства Фонда'!L5</f>
        <v>9</v>
      </c>
      <c r="U5" s="3">
        <f>M5-'[1]поручительства Фонда'!M5</f>
        <v>46212330.5</v>
      </c>
      <c r="V5" s="3">
        <f>N5-'[1]поручительства Фонда'!N5</f>
        <v>97449244</v>
      </c>
    </row>
    <row r="6" spans="1:24" s="1" customFormat="1" ht="18.75" customHeight="1" x14ac:dyDescent="0.3">
      <c r="A6" s="17">
        <v>2</v>
      </c>
      <c r="B6" s="26" t="s">
        <v>10</v>
      </c>
      <c r="C6" s="10">
        <f t="shared" ref="C6:C19" si="3">G6+K6</f>
        <v>14</v>
      </c>
      <c r="D6" s="10">
        <f t="shared" si="0"/>
        <v>17</v>
      </c>
      <c r="E6" s="3">
        <f t="shared" si="1"/>
        <v>109947840</v>
      </c>
      <c r="F6" s="3">
        <f t="shared" si="2"/>
        <v>366301893</v>
      </c>
      <c r="G6" s="3">
        <v>6</v>
      </c>
      <c r="H6" s="3">
        <v>7</v>
      </c>
      <c r="I6" s="33">
        <v>38622840</v>
      </c>
      <c r="J6" s="3">
        <v>86551893</v>
      </c>
      <c r="K6" s="3">
        <f>3+2+1+1+1</f>
        <v>8</v>
      </c>
      <c r="L6" s="3">
        <f>3+2+1+1+3</f>
        <v>10</v>
      </c>
      <c r="M6" s="5">
        <f>28900000+3400000+7500000+8000000+23525000</f>
        <v>71325000</v>
      </c>
      <c r="N6" s="5">
        <f>79700000+9050000+15000000+20000000+156000000</f>
        <v>279750000</v>
      </c>
      <c r="O6" s="22">
        <v>9</v>
      </c>
      <c r="P6" s="22">
        <v>57325000</v>
      </c>
      <c r="Q6" s="22">
        <v>229850000</v>
      </c>
      <c r="S6" s="3">
        <f>K6-'[1]поручительства Фонда'!K6</f>
        <v>3</v>
      </c>
      <c r="T6" s="3">
        <f>L6-'[1]поручительства Фонда'!L6</f>
        <v>5</v>
      </c>
      <c r="U6" s="3">
        <f>M6-'[1]поручительства Фонда'!M6</f>
        <v>39025000</v>
      </c>
      <c r="V6" s="3">
        <f>N6-'[1]поручительства Фонда'!N6</f>
        <v>191000000</v>
      </c>
      <c r="X6" s="30"/>
    </row>
    <row r="7" spans="1:24" s="1" customFormat="1" ht="18.75" x14ac:dyDescent="0.3">
      <c r="A7" s="24">
        <v>3</v>
      </c>
      <c r="B7" s="27" t="s">
        <v>11</v>
      </c>
      <c r="C7" s="10">
        <f t="shared" si="3"/>
        <v>24</v>
      </c>
      <c r="D7" s="10">
        <f t="shared" si="0"/>
        <v>25</v>
      </c>
      <c r="E7" s="3">
        <f t="shared" si="1"/>
        <v>118289000</v>
      </c>
      <c r="F7" s="3">
        <f t="shared" si="2"/>
        <v>318599000</v>
      </c>
      <c r="G7" s="3">
        <v>22</v>
      </c>
      <c r="H7" s="3">
        <f>23</f>
        <v>23</v>
      </c>
      <c r="I7" s="33">
        <f>88289000</f>
        <v>88289000</v>
      </c>
      <c r="J7" s="3">
        <f>258599000</f>
        <v>258599000</v>
      </c>
      <c r="K7" s="3">
        <v>2</v>
      </c>
      <c r="L7" s="6">
        <v>2</v>
      </c>
      <c r="M7" s="3">
        <v>30000000</v>
      </c>
      <c r="N7" s="3">
        <v>60000000</v>
      </c>
      <c r="O7" s="22">
        <v>3</v>
      </c>
      <c r="P7" s="22">
        <v>33300000</v>
      </c>
      <c r="Q7" s="22">
        <v>66600000</v>
      </c>
      <c r="S7" s="3">
        <f>K7-'[1]поручительства Фонда'!K7</f>
        <v>0</v>
      </c>
      <c r="T7" s="3">
        <f>L7-'[1]поручительства Фонда'!L7</f>
        <v>0</v>
      </c>
      <c r="U7" s="3">
        <f>M7-'[1]поручительства Фонда'!M7</f>
        <v>0</v>
      </c>
      <c r="V7" s="3">
        <f>N7-'[1]поручительства Фонда'!N7</f>
        <v>0</v>
      </c>
    </row>
    <row r="8" spans="1:24" s="1" customFormat="1" ht="18.75" x14ac:dyDescent="0.3">
      <c r="A8" s="24">
        <v>4</v>
      </c>
      <c r="B8" s="27" t="s">
        <v>12</v>
      </c>
      <c r="C8" s="10">
        <f t="shared" si="3"/>
        <v>23</v>
      </c>
      <c r="D8" s="10">
        <f t="shared" si="0"/>
        <v>26</v>
      </c>
      <c r="E8" s="3">
        <f t="shared" si="1"/>
        <v>163545000</v>
      </c>
      <c r="F8" s="3">
        <f t="shared" si="2"/>
        <v>520000002</v>
      </c>
      <c r="G8" s="3">
        <v>22</v>
      </c>
      <c r="H8" s="3">
        <v>25</v>
      </c>
      <c r="I8" s="33">
        <v>156745000</v>
      </c>
      <c r="J8" s="3">
        <v>506000002</v>
      </c>
      <c r="K8" s="3">
        <v>1</v>
      </c>
      <c r="L8" s="6">
        <v>1</v>
      </c>
      <c r="M8" s="3">
        <v>6800000</v>
      </c>
      <c r="N8" s="3">
        <v>14000000</v>
      </c>
      <c r="O8" s="22">
        <v>5</v>
      </c>
      <c r="P8" s="22">
        <v>64200000</v>
      </c>
      <c r="Q8" s="22">
        <v>206000000</v>
      </c>
      <c r="S8" s="3">
        <f>K8-'[1]поручительства Фонда'!K8</f>
        <v>1</v>
      </c>
      <c r="T8" s="3">
        <f>L8-'[1]поручительства Фонда'!L8</f>
        <v>1</v>
      </c>
      <c r="U8" s="3">
        <f>M8-'[1]поручительства Фонда'!M8</f>
        <v>6800000</v>
      </c>
      <c r="V8" s="3">
        <f>N8-'[1]поручительства Фонда'!N8</f>
        <v>14000000</v>
      </c>
    </row>
    <row r="9" spans="1:24" s="1" customFormat="1" ht="18.75" x14ac:dyDescent="0.3">
      <c r="A9" s="24">
        <v>5</v>
      </c>
      <c r="B9" s="26" t="s">
        <v>13</v>
      </c>
      <c r="C9" s="10">
        <f t="shared" si="3"/>
        <v>23</v>
      </c>
      <c r="D9" s="10">
        <f t="shared" si="0"/>
        <v>23</v>
      </c>
      <c r="E9" s="3">
        <f t="shared" si="1"/>
        <v>108645000</v>
      </c>
      <c r="F9" s="3">
        <f t="shared" si="2"/>
        <v>315095000</v>
      </c>
      <c r="G9" s="3">
        <v>20</v>
      </c>
      <c r="H9" s="3">
        <v>20</v>
      </c>
      <c r="I9" s="33">
        <v>98645000</v>
      </c>
      <c r="J9" s="3">
        <v>258895000</v>
      </c>
      <c r="K9" s="3">
        <f>2+1</f>
        <v>3</v>
      </c>
      <c r="L9" s="4">
        <f>2+1</f>
        <v>3</v>
      </c>
      <c r="M9" s="4">
        <f>1650000+5000000+3350000</f>
        <v>10000000</v>
      </c>
      <c r="N9" s="4">
        <f>5500000+44000000+6700000</f>
        <v>56200000</v>
      </c>
      <c r="O9" s="22">
        <v>4</v>
      </c>
      <c r="P9" s="22">
        <v>20000000</v>
      </c>
      <c r="Q9" s="22">
        <v>77800000</v>
      </c>
      <c r="S9" s="3">
        <f>K9-'[1]поручительства Фонда'!K9</f>
        <v>1</v>
      </c>
      <c r="T9" s="3">
        <f>L9-'[1]поручительства Фонда'!L9</f>
        <v>1</v>
      </c>
      <c r="U9" s="3">
        <f>M9-'[1]поручительства Фонда'!M9</f>
        <v>3350000</v>
      </c>
      <c r="V9" s="3">
        <f>N9-'[1]поручительства Фонда'!N9</f>
        <v>6700000</v>
      </c>
    </row>
    <row r="10" spans="1:24" s="1" customFormat="1" ht="18.75" x14ac:dyDescent="0.3">
      <c r="A10" s="24">
        <v>6</v>
      </c>
      <c r="B10" s="26" t="s">
        <v>14</v>
      </c>
      <c r="C10" s="10">
        <f t="shared" si="3"/>
        <v>4</v>
      </c>
      <c r="D10" s="10">
        <f t="shared" si="0"/>
        <v>4</v>
      </c>
      <c r="E10" s="3">
        <f t="shared" si="1"/>
        <v>7262500</v>
      </c>
      <c r="F10" s="3">
        <f t="shared" si="2"/>
        <v>18525000</v>
      </c>
      <c r="G10" s="3">
        <v>3</v>
      </c>
      <c r="H10" s="3">
        <v>3</v>
      </c>
      <c r="I10" s="33">
        <v>6000000</v>
      </c>
      <c r="J10" s="3">
        <v>16000000</v>
      </c>
      <c r="K10" s="3">
        <v>1</v>
      </c>
      <c r="L10" s="3">
        <v>1</v>
      </c>
      <c r="M10" s="4">
        <v>1262500</v>
      </c>
      <c r="N10" s="4">
        <v>2525000</v>
      </c>
      <c r="O10" s="22">
        <v>1</v>
      </c>
      <c r="P10" s="22">
        <v>1262500</v>
      </c>
      <c r="Q10" s="22">
        <v>2525000</v>
      </c>
      <c r="S10" s="3">
        <f>K10-'[1]поручительства Фонда'!K10</f>
        <v>0</v>
      </c>
      <c r="T10" s="3">
        <f>L10-'[1]поручительства Фонда'!L10</f>
        <v>0</v>
      </c>
      <c r="U10" s="3">
        <f>M10-'[1]поручительства Фонда'!M10</f>
        <v>0</v>
      </c>
      <c r="V10" s="3">
        <f>N10-'[1]поручительства Фонда'!N10</f>
        <v>0</v>
      </c>
    </row>
    <row r="11" spans="1:24" s="1" customFormat="1" ht="18.75" x14ac:dyDescent="0.3">
      <c r="A11" s="24">
        <v>7</v>
      </c>
      <c r="B11" s="26" t="s">
        <v>15</v>
      </c>
      <c r="C11" s="10">
        <f t="shared" si="3"/>
        <v>17</v>
      </c>
      <c r="D11" s="10">
        <f t="shared" si="0"/>
        <v>20</v>
      </c>
      <c r="E11" s="3">
        <f t="shared" si="1"/>
        <v>88685000</v>
      </c>
      <c r="F11" s="3">
        <f t="shared" si="2"/>
        <v>225502800</v>
      </c>
      <c r="G11" s="3">
        <v>16</v>
      </c>
      <c r="H11" s="3">
        <v>19</v>
      </c>
      <c r="I11" s="33">
        <v>85185000</v>
      </c>
      <c r="J11" s="3">
        <v>218502800</v>
      </c>
      <c r="K11" s="3">
        <v>1</v>
      </c>
      <c r="L11" s="4">
        <v>1</v>
      </c>
      <c r="M11" s="4">
        <v>3500000</v>
      </c>
      <c r="N11" s="4">
        <v>7000000</v>
      </c>
      <c r="O11" s="22">
        <v>7</v>
      </c>
      <c r="P11" s="22">
        <v>56800000</v>
      </c>
      <c r="Q11" s="22">
        <v>147700000</v>
      </c>
      <c r="S11" s="3">
        <f>K11-'[1]поручительства Фонда'!K11</f>
        <v>0</v>
      </c>
      <c r="T11" s="3">
        <f>L11-'[1]поручительства Фонда'!L11</f>
        <v>0</v>
      </c>
      <c r="U11" s="3">
        <f>M11-'[1]поручительства Фонда'!M11</f>
        <v>0</v>
      </c>
      <c r="V11" s="3">
        <f>N11-'[1]поручительства Фонда'!N11</f>
        <v>0</v>
      </c>
    </row>
    <row r="12" spans="1:24" s="1" customFormat="1" ht="18.75" x14ac:dyDescent="0.3">
      <c r="A12" s="24">
        <v>8</v>
      </c>
      <c r="B12" s="26" t="s">
        <v>17</v>
      </c>
      <c r="C12" s="10">
        <f t="shared" si="3"/>
        <v>2</v>
      </c>
      <c r="D12" s="10">
        <f t="shared" si="0"/>
        <v>2</v>
      </c>
      <c r="E12" s="3">
        <f t="shared" si="1"/>
        <v>3775000</v>
      </c>
      <c r="F12" s="3">
        <f t="shared" si="2"/>
        <v>9450000</v>
      </c>
      <c r="G12" s="3">
        <v>2</v>
      </c>
      <c r="H12" s="3">
        <v>2</v>
      </c>
      <c r="I12" s="33">
        <v>3775000</v>
      </c>
      <c r="J12" s="3">
        <v>9450000</v>
      </c>
      <c r="K12" s="3"/>
      <c r="L12" s="4"/>
      <c r="M12" s="4"/>
      <c r="N12" s="4"/>
      <c r="O12" s="22">
        <v>1</v>
      </c>
      <c r="P12" s="22">
        <v>975000</v>
      </c>
      <c r="Q12" s="22">
        <v>1950000</v>
      </c>
      <c r="S12" s="3">
        <f>K12-'[1]поручительства Фонда'!K12</f>
        <v>0</v>
      </c>
      <c r="T12" s="3">
        <f>L12-'[1]поручительства Фонда'!L12</f>
        <v>0</v>
      </c>
      <c r="U12" s="3">
        <f>M12-'[1]поручительства Фонда'!M12</f>
        <v>0</v>
      </c>
      <c r="V12" s="3">
        <f>N12-'[1]поручительства Фонда'!N12</f>
        <v>0</v>
      </c>
    </row>
    <row r="13" spans="1:24" s="1" customFormat="1" ht="18.75" x14ac:dyDescent="0.3">
      <c r="A13" s="24">
        <v>9</v>
      </c>
      <c r="B13" s="26" t="s">
        <v>16</v>
      </c>
      <c r="C13" s="10">
        <f t="shared" si="3"/>
        <v>109</v>
      </c>
      <c r="D13" s="10">
        <f t="shared" si="0"/>
        <v>116</v>
      </c>
      <c r="E13" s="3">
        <f t="shared" si="1"/>
        <v>427695166.26999998</v>
      </c>
      <c r="F13" s="3">
        <f t="shared" si="2"/>
        <v>1005617761.9299999</v>
      </c>
      <c r="G13" s="3">
        <v>100</v>
      </c>
      <c r="H13" s="3">
        <v>107</v>
      </c>
      <c r="I13" s="33">
        <v>362845499</v>
      </c>
      <c r="J13" s="3">
        <v>876633427.39999998</v>
      </c>
      <c r="K13" s="3">
        <f>5+1+1+1+1</f>
        <v>9</v>
      </c>
      <c r="L13" s="4">
        <f>5+1+1+1+1</f>
        <v>9</v>
      </c>
      <c r="M13" s="4">
        <f>37449667.27+5400000+12500000+1500000+8000000</f>
        <v>64849667.270000003</v>
      </c>
      <c r="N13" s="4">
        <f>72184334.53+10800000+25000000+3000000+18000000</f>
        <v>128984334.53</v>
      </c>
      <c r="O13" s="22">
        <v>28</v>
      </c>
      <c r="P13" s="22">
        <v>175447167.26999998</v>
      </c>
      <c r="Q13" s="22">
        <v>360250184.52999997</v>
      </c>
      <c r="S13" s="3">
        <f>K13-'[1]поручительства Фонда'!K13</f>
        <v>2</v>
      </c>
      <c r="T13" s="3">
        <f>L13-'[1]поручительства Фонда'!L13</f>
        <v>2</v>
      </c>
      <c r="U13" s="3">
        <f>M13-'[1]поручительства Фонда'!M13</f>
        <v>9500000</v>
      </c>
      <c r="V13" s="3">
        <f>N13-'[1]поручительства Фонда'!N13</f>
        <v>21000000</v>
      </c>
    </row>
    <row r="14" spans="1:24" s="1" customFormat="1" ht="18.75" x14ac:dyDescent="0.3">
      <c r="A14" s="24">
        <v>10</v>
      </c>
      <c r="B14" s="26" t="s">
        <v>18</v>
      </c>
      <c r="C14" s="10">
        <f t="shared" si="3"/>
        <v>15</v>
      </c>
      <c r="D14" s="10">
        <f t="shared" si="0"/>
        <v>16</v>
      </c>
      <c r="E14" s="3">
        <f t="shared" si="1"/>
        <v>36920000</v>
      </c>
      <c r="F14" s="3">
        <f t="shared" si="2"/>
        <v>103600000</v>
      </c>
      <c r="G14" s="3">
        <v>14</v>
      </c>
      <c r="H14" s="3">
        <v>15</v>
      </c>
      <c r="I14" s="33">
        <v>21920000</v>
      </c>
      <c r="J14" s="3">
        <v>72600000</v>
      </c>
      <c r="K14" s="3">
        <v>1</v>
      </c>
      <c r="L14" s="4">
        <v>1</v>
      </c>
      <c r="M14" s="4">
        <v>15000000</v>
      </c>
      <c r="N14" s="4">
        <v>31000000</v>
      </c>
      <c r="O14" s="22">
        <v>1</v>
      </c>
      <c r="P14" s="22">
        <v>15000000</v>
      </c>
      <c r="Q14" s="22">
        <v>31000000</v>
      </c>
      <c r="S14" s="3">
        <f>K14-'[1]поручительства Фонда'!K14</f>
        <v>0</v>
      </c>
      <c r="T14" s="3">
        <f>L14-'[1]поручительства Фонда'!L14</f>
        <v>0</v>
      </c>
      <c r="U14" s="3">
        <f>M14-'[1]поручительства Фонда'!M14</f>
        <v>0</v>
      </c>
      <c r="V14" s="3">
        <f>N14-'[1]поручительства Фонда'!N14</f>
        <v>0</v>
      </c>
    </row>
    <row r="15" spans="1:24" s="1" customFormat="1" ht="18.75" x14ac:dyDescent="0.3">
      <c r="A15" s="24">
        <v>11</v>
      </c>
      <c r="B15" s="26" t="s">
        <v>19</v>
      </c>
      <c r="C15" s="10">
        <f t="shared" si="3"/>
        <v>46</v>
      </c>
      <c r="D15" s="10">
        <f t="shared" si="0"/>
        <v>46</v>
      </c>
      <c r="E15" s="3">
        <f t="shared" si="1"/>
        <v>62810000</v>
      </c>
      <c r="F15" s="3">
        <f t="shared" si="2"/>
        <v>142700000</v>
      </c>
      <c r="G15" s="3">
        <v>45</v>
      </c>
      <c r="H15" s="3">
        <v>45</v>
      </c>
      <c r="I15" s="33">
        <v>59310000</v>
      </c>
      <c r="J15" s="3">
        <v>135700000</v>
      </c>
      <c r="K15" s="3">
        <v>1</v>
      </c>
      <c r="L15" s="4">
        <v>1</v>
      </c>
      <c r="M15" s="3">
        <v>3500000</v>
      </c>
      <c r="N15" s="3">
        <v>7000000</v>
      </c>
      <c r="O15" s="22">
        <v>2</v>
      </c>
      <c r="P15" s="22">
        <v>5000000</v>
      </c>
      <c r="Q15" s="22">
        <v>10000000</v>
      </c>
      <c r="S15" s="3">
        <f>K15-'[1]поручительства Фонда'!K15</f>
        <v>0</v>
      </c>
      <c r="T15" s="3">
        <f>L15-'[1]поручительства Фонда'!L15</f>
        <v>0</v>
      </c>
      <c r="U15" s="3">
        <f>M15-'[1]поручительства Фонда'!M15</f>
        <v>0</v>
      </c>
      <c r="V15" s="3">
        <f>N15-'[1]поручительства Фонда'!N15</f>
        <v>0</v>
      </c>
    </row>
    <row r="16" spans="1:24" s="1" customFormat="1" ht="18.75" x14ac:dyDescent="0.3">
      <c r="A16" s="25">
        <v>12</v>
      </c>
      <c r="B16" s="26" t="s">
        <v>20</v>
      </c>
      <c r="C16" s="10">
        <f t="shared" si="3"/>
        <v>1</v>
      </c>
      <c r="D16" s="10">
        <f t="shared" si="0"/>
        <v>1</v>
      </c>
      <c r="E16" s="3">
        <f t="shared" si="1"/>
        <v>6000000</v>
      </c>
      <c r="F16" s="3">
        <f t="shared" si="2"/>
        <v>10000000</v>
      </c>
      <c r="G16" s="3">
        <v>0</v>
      </c>
      <c r="H16" s="3">
        <v>0</v>
      </c>
      <c r="I16" s="33">
        <v>0</v>
      </c>
      <c r="J16" s="3">
        <v>0</v>
      </c>
      <c r="K16" s="3">
        <v>1</v>
      </c>
      <c r="L16" s="4">
        <v>1</v>
      </c>
      <c r="M16" s="3">
        <v>6000000</v>
      </c>
      <c r="N16" s="3">
        <v>10000000</v>
      </c>
      <c r="O16" s="22">
        <v>1</v>
      </c>
      <c r="P16" s="22">
        <v>6000000</v>
      </c>
      <c r="Q16" s="22">
        <v>10000000</v>
      </c>
      <c r="S16" s="3">
        <f>K16-'[1]поручительства Фонда'!K16</f>
        <v>0</v>
      </c>
      <c r="T16" s="3">
        <f>L16-'[1]поручительства Фонда'!L16</f>
        <v>0</v>
      </c>
      <c r="U16" s="3">
        <f>M16-'[1]поручительства Фонда'!M16</f>
        <v>0</v>
      </c>
      <c r="V16" s="3">
        <f>N16-'[1]поручительства Фонда'!N16</f>
        <v>0</v>
      </c>
    </row>
    <row r="17" spans="1:22" s="1" customFormat="1" ht="18.75" x14ac:dyDescent="0.3">
      <c r="A17" s="25">
        <v>13</v>
      </c>
      <c r="B17" s="26" t="s">
        <v>21</v>
      </c>
      <c r="C17" s="10">
        <f t="shared" si="3"/>
        <v>9</v>
      </c>
      <c r="D17" s="10">
        <f t="shared" si="0"/>
        <v>12</v>
      </c>
      <c r="E17" s="3">
        <f t="shared" si="1"/>
        <v>53759000</v>
      </c>
      <c r="F17" s="3">
        <f t="shared" si="2"/>
        <v>118800000</v>
      </c>
      <c r="G17" s="3">
        <v>5</v>
      </c>
      <c r="H17" s="3">
        <v>6</v>
      </c>
      <c r="I17" s="33">
        <v>26679000</v>
      </c>
      <c r="J17" s="3">
        <v>55800000</v>
      </c>
      <c r="K17" s="3">
        <f>1+1+2</f>
        <v>4</v>
      </c>
      <c r="L17" s="4">
        <f>3+1+2</f>
        <v>6</v>
      </c>
      <c r="M17" s="3">
        <f>9380000+5000000+12700000</f>
        <v>27080000</v>
      </c>
      <c r="N17" s="3">
        <f>16000000+15000000+24000000+8000000</f>
        <v>63000000</v>
      </c>
      <c r="O17" s="22">
        <v>8</v>
      </c>
      <c r="P17" s="22">
        <v>34959000</v>
      </c>
      <c r="Q17" s="22">
        <v>80000000</v>
      </c>
      <c r="S17" s="3">
        <f>K17-'[1]поручительства Фонда'!K17</f>
        <v>2</v>
      </c>
      <c r="T17" s="3">
        <f>L17-'[1]поручительства Фонда'!L17</f>
        <v>2</v>
      </c>
      <c r="U17" s="3">
        <f>M17-'[1]поручительства Фонда'!M17</f>
        <v>12700000</v>
      </c>
      <c r="V17" s="3">
        <f>N17-'[1]поручительства Фонда'!N17</f>
        <v>32000000</v>
      </c>
    </row>
    <row r="18" spans="1:22" s="1" customFormat="1" ht="18.75" x14ac:dyDescent="0.3">
      <c r="A18" s="25">
        <v>14</v>
      </c>
      <c r="B18" s="9" t="s">
        <v>22</v>
      </c>
      <c r="C18" s="10">
        <f t="shared" si="3"/>
        <v>1</v>
      </c>
      <c r="D18" s="10">
        <f t="shared" si="0"/>
        <v>1</v>
      </c>
      <c r="E18" s="3">
        <f t="shared" si="1"/>
        <v>10000000</v>
      </c>
      <c r="F18" s="3">
        <f t="shared" si="2"/>
        <v>50000000</v>
      </c>
      <c r="G18" s="3">
        <v>1</v>
      </c>
      <c r="H18" s="3">
        <v>1</v>
      </c>
      <c r="I18" s="33">
        <v>10000000</v>
      </c>
      <c r="J18" s="3">
        <v>50000000</v>
      </c>
      <c r="K18" s="3"/>
      <c r="L18" s="4"/>
      <c r="M18" s="3"/>
      <c r="N18" s="3"/>
      <c r="O18" s="22"/>
      <c r="P18" s="22"/>
      <c r="Q18" s="22"/>
      <c r="S18" s="3">
        <f>K18-'[1]поручительства Фонда'!K18</f>
        <v>0</v>
      </c>
      <c r="T18" s="3">
        <f>L18-'[1]поручительства Фонда'!L18</f>
        <v>0</v>
      </c>
      <c r="U18" s="3">
        <f>M18-'[1]поручительства Фонда'!M18</f>
        <v>0</v>
      </c>
      <c r="V18" s="3">
        <f>N18-'[1]поручительства Фонда'!N18</f>
        <v>0</v>
      </c>
    </row>
    <row r="19" spans="1:22" s="1" customFormat="1" ht="18.75" x14ac:dyDescent="0.3">
      <c r="A19" s="28">
        <v>15</v>
      </c>
      <c r="B19" s="9" t="s">
        <v>23</v>
      </c>
      <c r="C19" s="10">
        <f t="shared" si="3"/>
        <v>16</v>
      </c>
      <c r="D19" s="10">
        <f t="shared" si="0"/>
        <v>18</v>
      </c>
      <c r="E19" s="3">
        <f t="shared" si="1"/>
        <v>168153205.86000001</v>
      </c>
      <c r="F19" s="3">
        <f t="shared" si="2"/>
        <v>356096869</v>
      </c>
      <c r="G19" s="3">
        <v>6</v>
      </c>
      <c r="H19" s="3">
        <v>6</v>
      </c>
      <c r="I19" s="33">
        <v>41200000</v>
      </c>
      <c r="J19" s="3">
        <v>81000000</v>
      </c>
      <c r="K19" s="3">
        <f>8+1+1</f>
        <v>10</v>
      </c>
      <c r="L19" s="4">
        <f>10+1+1</f>
        <v>12</v>
      </c>
      <c r="M19" s="3">
        <f>119853205.86+1100000+6000000</f>
        <v>126953205.86</v>
      </c>
      <c r="N19" s="3">
        <f>239296869+20800000+15000000</f>
        <v>275096869</v>
      </c>
      <c r="O19" s="22">
        <v>16</v>
      </c>
      <c r="P19" s="22">
        <v>145153205.86000001</v>
      </c>
      <c r="Q19" s="22">
        <v>316096869</v>
      </c>
      <c r="S19" s="3">
        <f>K19-'[1]поручительства Фонда'!K19</f>
        <v>1</v>
      </c>
      <c r="T19" s="3">
        <f>L19-'[1]поручительства Фонда'!L19</f>
        <v>1</v>
      </c>
      <c r="U19" s="3">
        <f>M19-'[1]поручительства Фонда'!M19</f>
        <v>6000000</v>
      </c>
      <c r="V19" s="3">
        <f>N19-'[1]поручительства Фонда'!N19</f>
        <v>15000000</v>
      </c>
    </row>
    <row r="20" spans="1:22" s="1" customFormat="1" ht="19.5" customHeight="1" x14ac:dyDescent="0.3">
      <c r="A20" s="17"/>
      <c r="B20" s="11" t="s">
        <v>1</v>
      </c>
      <c r="C20" s="10">
        <f>G20+K20</f>
        <v>151</v>
      </c>
      <c r="D20" s="10">
        <f t="shared" si="0"/>
        <v>160</v>
      </c>
      <c r="E20" s="3">
        <f t="shared" si="1"/>
        <v>439136398</v>
      </c>
      <c r="F20" s="3">
        <f t="shared" si="2"/>
        <v>1187766354.4000001</v>
      </c>
      <c r="G20" s="3">
        <v>151</v>
      </c>
      <c r="H20" s="3">
        <f>160</f>
        <v>160</v>
      </c>
      <c r="I20" s="33">
        <f>439136398</f>
        <v>439136398</v>
      </c>
      <c r="J20" s="3">
        <f>1187766354.4</f>
        <v>1187766354.4000001</v>
      </c>
      <c r="K20" s="3"/>
      <c r="L20" s="3"/>
      <c r="M20" s="6"/>
      <c r="N20" s="6"/>
      <c r="O20" s="22"/>
      <c r="P20" s="22"/>
      <c r="Q20" s="22"/>
      <c r="S20" s="3"/>
      <c r="T20" s="3"/>
      <c r="U20" s="6"/>
      <c r="V20" s="6"/>
    </row>
    <row r="21" spans="1:22" s="2" customFormat="1" ht="15.75" x14ac:dyDescent="0.25">
      <c r="A21" s="18"/>
      <c r="B21" s="12" t="s">
        <v>2</v>
      </c>
      <c r="C21" s="13">
        <f t="shared" ref="C21:D21" si="4">G21+K21</f>
        <v>686</v>
      </c>
      <c r="D21" s="13">
        <f t="shared" si="4"/>
        <v>735</v>
      </c>
      <c r="E21" s="14">
        <f>I21+M21</f>
        <v>2675364705.46</v>
      </c>
      <c r="F21" s="14">
        <f>J21+N21</f>
        <v>7127584966.329999</v>
      </c>
      <c r="G21" s="15">
        <f t="shared" ref="G21:Q21" si="5">SUM(G5:G20)</f>
        <v>626</v>
      </c>
      <c r="H21" s="15">
        <f t="shared" si="5"/>
        <v>669</v>
      </c>
      <c r="I21" s="15">
        <f t="shared" si="5"/>
        <v>2183413001.8299999</v>
      </c>
      <c r="J21" s="15">
        <f t="shared" si="5"/>
        <v>5925299518.7999992</v>
      </c>
      <c r="K21" s="16">
        <f t="shared" si="5"/>
        <v>60</v>
      </c>
      <c r="L21" s="16">
        <f t="shared" si="5"/>
        <v>66</v>
      </c>
      <c r="M21" s="16">
        <f t="shared" si="5"/>
        <v>491951703.63</v>
      </c>
      <c r="N21" s="16">
        <f t="shared" si="5"/>
        <v>1202285447.53</v>
      </c>
      <c r="O21" s="23">
        <f t="shared" si="5"/>
        <v>110</v>
      </c>
      <c r="P21" s="23">
        <f t="shared" si="5"/>
        <v>783983203.63</v>
      </c>
      <c r="Q21" s="23">
        <f t="shared" si="5"/>
        <v>1928861297.53</v>
      </c>
      <c r="S21" s="16">
        <f t="shared" ref="S21:V21" si="6">SUM(S5:S20)</f>
        <v>19</v>
      </c>
      <c r="T21" s="16">
        <f t="shared" si="6"/>
        <v>21</v>
      </c>
      <c r="U21" s="16">
        <f t="shared" si="6"/>
        <v>123587330.5</v>
      </c>
      <c r="V21" s="16">
        <f t="shared" si="6"/>
        <v>377149244</v>
      </c>
    </row>
    <row r="23" spans="1:22" ht="15.75" customHeight="1" x14ac:dyDescent="0.25">
      <c r="E23" s="7"/>
    </row>
    <row r="25" spans="1:22" x14ac:dyDescent="0.25">
      <c r="D25" s="29"/>
      <c r="E25" s="32"/>
      <c r="F25" s="29"/>
      <c r="G25" s="29"/>
      <c r="H25" s="7"/>
      <c r="I25" s="7"/>
      <c r="J25" s="7"/>
      <c r="K25" s="7"/>
      <c r="L25" s="31"/>
      <c r="M25" s="7"/>
    </row>
    <row r="26" spans="1:22" x14ac:dyDescent="0.25">
      <c r="M26" s="7"/>
      <c r="N26" s="7"/>
    </row>
    <row r="27" spans="1:22" x14ac:dyDescent="0.25">
      <c r="E27" s="7"/>
      <c r="L27" s="7"/>
    </row>
    <row r="28" spans="1:22" x14ac:dyDescent="0.25">
      <c r="L28" s="7"/>
    </row>
    <row r="29" spans="1:22" x14ac:dyDescent="0.25">
      <c r="D29" s="29"/>
    </row>
    <row r="30" spans="1:22" x14ac:dyDescent="0.25">
      <c r="D30" s="29"/>
    </row>
  </sheetData>
  <mergeCells count="8">
    <mergeCell ref="S3:V3"/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3.937007874015748E-2" bottom="3.937007874015748E-2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Shavolin</cp:lastModifiedBy>
  <cp:lastPrinted>2019-01-14T05:35:10Z</cp:lastPrinted>
  <dcterms:created xsi:type="dcterms:W3CDTF">2012-01-25T08:03:53Z</dcterms:created>
  <dcterms:modified xsi:type="dcterms:W3CDTF">2020-01-14T08:13:51Z</dcterms:modified>
</cp:coreProperties>
</file>