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тародумова\Рабочая\Отчеты\Алтайский фонд МСП\На сайт(ежемесячно)\2018\на 01.01.2019\"/>
    </mc:Choice>
  </mc:AlternateContent>
  <bookViews>
    <workbookView xWindow="0" yWindow="0" windowWidth="20490" windowHeight="7755" activeTab="2"/>
  </bookViews>
  <sheets>
    <sheet name="поручительства Фонда" sheetId="1" r:id="rId1"/>
    <sheet name="Лист2" sheetId="3" r:id="rId2"/>
    <sheet name="Лист1" sheetId="2" r:id="rId3"/>
  </sheets>
  <definedNames>
    <definedName name="_xlnm.Print_Area" localSheetId="0">'поручительства Фонда'!$A$1:$N$21</definedName>
  </definedNames>
  <calcPr calcId="152511"/>
</workbook>
</file>

<file path=xl/calcChain.xml><?xml version="1.0" encoding="utf-8"?>
<calcChain xmlns="http://schemas.openxmlformats.org/spreadsheetml/2006/main">
  <c r="H20" i="1" l="1"/>
  <c r="G20" i="1"/>
  <c r="F20" i="1"/>
  <c r="K15" i="1" l="1"/>
  <c r="J15" i="1"/>
  <c r="K19" i="1"/>
  <c r="J19" i="1"/>
  <c r="K17" i="1"/>
  <c r="J17" i="1"/>
  <c r="I17" i="1"/>
  <c r="K5" i="1"/>
  <c r="J5" i="1"/>
  <c r="I5" i="1"/>
  <c r="C12" i="2" l="1"/>
  <c r="C11" i="2"/>
  <c r="B12" i="2"/>
  <c r="D4" i="2"/>
  <c r="D5" i="2"/>
  <c r="D6" i="2"/>
  <c r="D3" i="2"/>
  <c r="E20" i="1" l="1"/>
  <c r="C20" i="1"/>
  <c r="D20" i="1"/>
  <c r="D7" i="1"/>
  <c r="D10" i="1"/>
  <c r="D12" i="1"/>
  <c r="D14" i="1"/>
  <c r="D15" i="1"/>
  <c r="D16" i="1"/>
  <c r="D17" i="1"/>
  <c r="D18" i="1"/>
  <c r="D19" i="1"/>
  <c r="K11" i="1" l="1"/>
  <c r="J11" i="1"/>
  <c r="D11" i="1" s="1"/>
  <c r="I11" i="1"/>
  <c r="K9" i="1" l="1"/>
  <c r="J9" i="1"/>
  <c r="D9" i="1" s="1"/>
  <c r="I9" i="1"/>
  <c r="K13" i="1"/>
  <c r="J13" i="1"/>
  <c r="D13" i="1" s="1"/>
  <c r="I13" i="1"/>
  <c r="E19" i="1" l="1"/>
  <c r="C19" i="1"/>
  <c r="K6" i="1" l="1"/>
  <c r="J6" i="1"/>
  <c r="D6" i="1" s="1"/>
  <c r="I6" i="1"/>
  <c r="K8" i="1" l="1"/>
  <c r="J8" i="1"/>
  <c r="D8" i="1" s="1"/>
  <c r="I8" i="1"/>
  <c r="E18" i="1" l="1"/>
  <c r="C18" i="1"/>
  <c r="E17" i="1" l="1"/>
  <c r="C17" i="1"/>
  <c r="E16" i="1" l="1"/>
  <c r="C16" i="1"/>
  <c r="L21" i="1" l="1"/>
  <c r="M21" i="1"/>
  <c r="N21" i="1"/>
  <c r="E7" i="1" l="1"/>
  <c r="C7" i="1"/>
  <c r="H21" i="1" l="1"/>
  <c r="F21" i="1" l="1"/>
  <c r="G21" i="1" l="1"/>
  <c r="E14" i="1"/>
  <c r="E15" i="1"/>
  <c r="C13" i="1"/>
  <c r="E13" i="1"/>
  <c r="C14" i="1"/>
  <c r="C15" i="1"/>
  <c r="C5" i="1"/>
  <c r="E5" i="1"/>
  <c r="C9" i="1"/>
  <c r="E9" i="1"/>
  <c r="C11" i="1"/>
  <c r="E11" i="1"/>
  <c r="C10" i="1"/>
  <c r="E10" i="1"/>
  <c r="C12" i="1"/>
  <c r="E12" i="1"/>
  <c r="C6" i="1"/>
  <c r="E6" i="1"/>
  <c r="C8" i="1"/>
  <c r="E8" i="1"/>
  <c r="I21" i="1"/>
  <c r="C21" i="1" s="1"/>
  <c r="K21" i="1"/>
  <c r="E21" i="1" s="1"/>
  <c r="J21" i="1"/>
  <c r="D21" i="1" s="1"/>
  <c r="D5" i="1" l="1"/>
</calcChain>
</file>

<file path=xl/comments1.xml><?xml version="1.0" encoding="utf-8"?>
<comments xmlns="http://schemas.openxmlformats.org/spreadsheetml/2006/main">
  <authors>
    <author>Shavolin</author>
  </authors>
  <commentList>
    <comment ref="B20" authorId="0" shapeId="0">
      <text>
        <r>
          <rPr>
            <sz val="9"/>
            <color indexed="81"/>
            <rFont val="Tahoma"/>
            <family val="2"/>
            <charset val="204"/>
          </rPr>
          <t>+Бинбанк+Тальменка-Банк+ЮниаструмБанк</t>
        </r>
      </text>
    </comment>
  </commentList>
</comments>
</file>

<file path=xl/sharedStrings.xml><?xml version="1.0" encoding="utf-8"?>
<sst xmlns="http://schemas.openxmlformats.org/spreadsheetml/2006/main" count="59" uniqueCount="41">
  <si>
    <t>Наименование банка-партнера</t>
  </si>
  <si>
    <t>Бывшие банки-партнеры</t>
  </si>
  <si>
    <t>ИТОГО</t>
  </si>
  <si>
    <t>Объем выданных кредитов под поручительство Фонда (с начала деятельности Фонда), руб.</t>
  </si>
  <si>
    <t>Объем выданных поручительств (с начала деятельности Фонда), руб.</t>
  </si>
  <si>
    <t>Количество выданных поручительств (с начала деятельности Фонда), шт.</t>
  </si>
  <si>
    <t>№ п/п</t>
  </si>
  <si>
    <t>2007-2017</t>
  </si>
  <si>
    <t>Кол-во, шт.</t>
  </si>
  <si>
    <t>Сумма поручительств, руб.</t>
  </si>
  <si>
    <t>Сумма кредитов, выданных под поручительства, руб.</t>
  </si>
  <si>
    <t>2007-2018</t>
  </si>
  <si>
    <t>Количество выданных поручительств с начала 2018г., шт.</t>
  </si>
  <si>
    <t xml:space="preserve">Обьем  выданных поручительств с начала 2018г., руб.  </t>
  </si>
  <si>
    <t>Объем выданных кредитов под поручительство Фонда с начала 2018г., руб.</t>
  </si>
  <si>
    <t>ПАО Сбербанк</t>
  </si>
  <si>
    <t>АО "Россельхозбанк"</t>
  </si>
  <si>
    <t>ПАО Банк "ФК Открытие"</t>
  </si>
  <si>
    <t>ПАО "Промсвязьбанк"</t>
  </si>
  <si>
    <t>ПАО "АК БАРС" БАНК</t>
  </si>
  <si>
    <t>ТКБ БАНК ПАО</t>
  </si>
  <si>
    <t>Банк "Левобережный" (ПАО)</t>
  </si>
  <si>
    <t>"СИБСОЦБАНК" ООО</t>
  </si>
  <si>
    <t>АО "Банк Акцепт"</t>
  </si>
  <si>
    <t>АО КБ "ФорБанк"</t>
  </si>
  <si>
    <t>ООО КБ "Алтайкапиталбанк"</t>
  </si>
  <si>
    <t>АО "МСП Банк"</t>
  </si>
  <si>
    <t>АО "Банк Интеза"</t>
  </si>
  <si>
    <t>АО "АЛЬФА-БАНК"</t>
  </si>
  <si>
    <t>Банк ВТБ (ПАО)</t>
  </si>
  <si>
    <t>Показатель</t>
  </si>
  <si>
    <t>Темп роста, %</t>
  </si>
  <si>
    <t>Капитал, тыс. руб.</t>
  </si>
  <si>
    <t>Количество действующих договоров, шт.</t>
  </si>
  <si>
    <t>Действующий портфель поручительств, тыс. руб.</t>
  </si>
  <si>
    <t>Действующий портфель кредитов, тыс. руб.</t>
  </si>
  <si>
    <t>Действующий портфель кредитов</t>
  </si>
  <si>
    <t>Пополнение оборотных средств</t>
  </si>
  <si>
    <t>Инвестиционные цели</t>
  </si>
  <si>
    <t>Сведения о поручительствах, предоставленных НО "Алтайский фонд МСП", в разрезе банков-партнеров на 01.01.2019 г.</t>
  </si>
  <si>
    <t>Действующие поручительства на 01.01.2019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</si>
</sst>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Border="1"/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3" fontId="0" fillId="0" borderId="0" xfId="0" applyNumberFormat="1"/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3" fontId="0" fillId="0" borderId="0" xfId="0" applyNumberFormat="1" applyFill="1" applyBorder="1"/>
    <xf numFmtId="10" fontId="0" fillId="0" borderId="1" xfId="0" applyNumberFormat="1" applyBorder="1"/>
    <xf numFmtId="10" fontId="4" fillId="0" borderId="0" xfId="0" applyNumberFormat="1" applyFont="1"/>
    <xf numFmtId="0" fontId="5" fillId="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Лист1!$A$11:$A$12</c:f>
              <c:strCache>
                <c:ptCount val="2"/>
                <c:pt idx="0">
                  <c:v>Пополнение оборотных средств</c:v>
                </c:pt>
                <c:pt idx="1">
                  <c:v>Инвестиционные цели</c:v>
                </c:pt>
              </c:strCache>
            </c:strRef>
          </c:cat>
          <c:val>
            <c:numRef>
              <c:f>Лист1!$C$11:$C$12</c:f>
              <c:numCache>
                <c:formatCode>0.00%</c:formatCode>
                <c:ptCount val="2"/>
                <c:pt idx="0">
                  <c:v>0.59359915920126505</c:v>
                </c:pt>
                <c:pt idx="1">
                  <c:v>0.40640084079873501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8</xdr:row>
      <xdr:rowOff>100012</xdr:rowOff>
    </xdr:from>
    <xdr:to>
      <xdr:col>13</xdr:col>
      <xdr:colOff>38100</xdr:colOff>
      <xdr:row>22</xdr:row>
      <xdr:rowOff>176212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zoomScale="75" zoomScaleNormal="75" workbookViewId="0">
      <selection activeCell="C27" sqref="C27"/>
    </sheetView>
  </sheetViews>
  <sheetFormatPr defaultRowHeight="15" x14ac:dyDescent="0.25"/>
  <cols>
    <col min="2" max="2" width="37.85546875" customWidth="1"/>
    <col min="3" max="3" width="17" customWidth="1"/>
    <col min="4" max="4" width="16.7109375" style="9" customWidth="1"/>
    <col min="5" max="5" width="18.140625" style="9" customWidth="1"/>
    <col min="6" max="6" width="21.5703125" style="9" hidden="1" customWidth="1"/>
    <col min="7" max="7" width="17.5703125" style="9" hidden="1" customWidth="1"/>
    <col min="8" max="8" width="27" style="9" hidden="1" customWidth="1"/>
    <col min="9" max="9" width="14" style="9" customWidth="1"/>
    <col min="10" max="10" width="17.28515625" style="9" customWidth="1"/>
    <col min="11" max="11" width="19.5703125" style="9" customWidth="1"/>
    <col min="12" max="12" width="18" customWidth="1"/>
    <col min="13" max="13" width="19.140625" customWidth="1"/>
    <col min="14" max="14" width="19" customWidth="1"/>
    <col min="15" max="15" width="11" customWidth="1"/>
  </cols>
  <sheetData>
    <row r="1" spans="1:15" ht="34.5" customHeight="1" x14ac:dyDescent="0.25">
      <c r="A1" s="40" t="s">
        <v>39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s="1" customFormat="1" ht="15.7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5" s="1" customFormat="1" ht="23.25" customHeight="1" x14ac:dyDescent="0.25">
      <c r="A3" s="42" t="s">
        <v>6</v>
      </c>
      <c r="B3" s="45" t="s">
        <v>0</v>
      </c>
      <c r="C3" s="43" t="s">
        <v>11</v>
      </c>
      <c r="D3" s="43"/>
      <c r="E3" s="43"/>
      <c r="F3" s="44" t="s">
        <v>7</v>
      </c>
      <c r="G3" s="44"/>
      <c r="H3" s="44"/>
      <c r="I3" s="44">
        <v>2018</v>
      </c>
      <c r="J3" s="44"/>
      <c r="K3" s="44"/>
      <c r="L3" s="39" t="s">
        <v>40</v>
      </c>
      <c r="M3" s="39"/>
      <c r="N3" s="39"/>
    </row>
    <row r="4" spans="1:15" s="1" customFormat="1" ht="93.75" customHeight="1" x14ac:dyDescent="0.25">
      <c r="A4" s="42"/>
      <c r="B4" s="45"/>
      <c r="C4" s="21" t="s">
        <v>5</v>
      </c>
      <c r="D4" s="20" t="s">
        <v>4</v>
      </c>
      <c r="E4" s="20" t="s">
        <v>3</v>
      </c>
      <c r="F4" s="20" t="s">
        <v>5</v>
      </c>
      <c r="G4" s="20" t="s">
        <v>4</v>
      </c>
      <c r="H4" s="20" t="s">
        <v>3</v>
      </c>
      <c r="I4" s="20" t="s">
        <v>12</v>
      </c>
      <c r="J4" s="20" t="s">
        <v>13</v>
      </c>
      <c r="K4" s="20" t="s">
        <v>14</v>
      </c>
      <c r="L4" s="22" t="s">
        <v>8</v>
      </c>
      <c r="M4" s="22" t="s">
        <v>9</v>
      </c>
      <c r="N4" s="22" t="s">
        <v>10</v>
      </c>
    </row>
    <row r="5" spans="1:15" s="1" customFormat="1" ht="18.75" x14ac:dyDescent="0.3">
      <c r="A5" s="18">
        <v>1</v>
      </c>
      <c r="B5" s="27" t="s">
        <v>15</v>
      </c>
      <c r="C5" s="11">
        <f t="shared" ref="C5:C20" si="0">F5+I5</f>
        <v>230</v>
      </c>
      <c r="D5" s="3">
        <f t="shared" ref="D5:D20" si="1">G5+J5</f>
        <v>745060264.82999992</v>
      </c>
      <c r="E5" s="3">
        <f t="shared" ref="E5:E20" si="2">H5+K5</f>
        <v>2111801042</v>
      </c>
      <c r="F5" s="3">
        <v>222</v>
      </c>
      <c r="G5" s="3">
        <v>692670375.57999992</v>
      </c>
      <c r="H5" s="3">
        <v>1967601042</v>
      </c>
      <c r="I5" s="4">
        <f>2+1+1+1+2+1</f>
        <v>8</v>
      </c>
      <c r="J5" s="4">
        <f>20000000+9300000+6500000+3089889.25+10000000+3500000</f>
        <v>52389889.25</v>
      </c>
      <c r="K5" s="4">
        <f>60000000+34200000+13000000+10000000+20000000+7000000</f>
        <v>144200000</v>
      </c>
      <c r="L5" s="23">
        <v>15</v>
      </c>
      <c r="M5" s="23">
        <v>72745369.25</v>
      </c>
      <c r="N5" s="23">
        <v>190443000</v>
      </c>
      <c r="O5" s="38"/>
    </row>
    <row r="6" spans="1:15" s="1" customFormat="1" ht="18.75" customHeight="1" x14ac:dyDescent="0.3">
      <c r="A6" s="18">
        <v>2</v>
      </c>
      <c r="B6" s="27" t="s">
        <v>16</v>
      </c>
      <c r="C6" s="11">
        <f t="shared" si="0"/>
        <v>7</v>
      </c>
      <c r="D6" s="3">
        <f t="shared" si="1"/>
        <v>38622840</v>
      </c>
      <c r="E6" s="3">
        <f t="shared" si="2"/>
        <v>86551893</v>
      </c>
      <c r="F6" s="3">
        <v>5</v>
      </c>
      <c r="G6" s="3">
        <v>25722840</v>
      </c>
      <c r="H6" s="3">
        <v>60751893</v>
      </c>
      <c r="I6" s="3">
        <f>1+1</f>
        <v>2</v>
      </c>
      <c r="J6" s="6">
        <f>6900000+6000000</f>
        <v>12900000</v>
      </c>
      <c r="K6" s="6">
        <f>13800000+12000000</f>
        <v>25800000</v>
      </c>
      <c r="L6" s="23">
        <v>2</v>
      </c>
      <c r="M6" s="23">
        <v>12900000</v>
      </c>
      <c r="N6" s="23">
        <v>25800000</v>
      </c>
      <c r="O6" s="38"/>
    </row>
    <row r="7" spans="1:15" s="1" customFormat="1" ht="18.75" x14ac:dyDescent="0.3">
      <c r="A7" s="25">
        <v>3</v>
      </c>
      <c r="B7" s="28" t="s">
        <v>17</v>
      </c>
      <c r="C7" s="11">
        <f t="shared" si="0"/>
        <v>23</v>
      </c>
      <c r="D7" s="3">
        <f t="shared" si="1"/>
        <v>88289000</v>
      </c>
      <c r="E7" s="3">
        <f t="shared" si="2"/>
        <v>258599000</v>
      </c>
      <c r="F7" s="3">
        <v>23</v>
      </c>
      <c r="G7" s="3">
        <v>88289000</v>
      </c>
      <c r="H7" s="3">
        <v>258599000</v>
      </c>
      <c r="I7" s="7"/>
      <c r="J7" s="3"/>
      <c r="K7" s="3"/>
      <c r="L7" s="23">
        <v>3</v>
      </c>
      <c r="M7" s="23">
        <v>28850000</v>
      </c>
      <c r="N7" s="23">
        <v>89870000</v>
      </c>
      <c r="O7" s="38"/>
    </row>
    <row r="8" spans="1:15" s="1" customFormat="1" ht="18.75" x14ac:dyDescent="0.3">
      <c r="A8" s="25">
        <v>4</v>
      </c>
      <c r="B8" s="28" t="s">
        <v>18</v>
      </c>
      <c r="C8" s="11">
        <f t="shared" si="0"/>
        <v>25</v>
      </c>
      <c r="D8" s="3">
        <f t="shared" si="1"/>
        <v>156745000</v>
      </c>
      <c r="E8" s="3">
        <f t="shared" si="2"/>
        <v>506000002</v>
      </c>
      <c r="F8" s="3">
        <v>22</v>
      </c>
      <c r="G8" s="3">
        <v>129645000</v>
      </c>
      <c r="H8" s="3">
        <v>461400002</v>
      </c>
      <c r="I8" s="7">
        <f>1+1+1</f>
        <v>3</v>
      </c>
      <c r="J8" s="3">
        <f>20000000+4600000+2500000</f>
        <v>27100000</v>
      </c>
      <c r="K8" s="3">
        <f>30000000+9600000+5000000</f>
        <v>44600000</v>
      </c>
      <c r="L8" s="23">
        <v>8</v>
      </c>
      <c r="M8" s="23">
        <v>94500000</v>
      </c>
      <c r="N8" s="23">
        <v>304600000</v>
      </c>
      <c r="O8" s="38"/>
    </row>
    <row r="9" spans="1:15" s="1" customFormat="1" ht="18.75" x14ac:dyDescent="0.3">
      <c r="A9" s="25">
        <v>5</v>
      </c>
      <c r="B9" s="27" t="s">
        <v>19</v>
      </c>
      <c r="C9" s="11">
        <f t="shared" si="0"/>
        <v>20</v>
      </c>
      <c r="D9" s="3">
        <f t="shared" si="1"/>
        <v>98645000</v>
      </c>
      <c r="E9" s="3">
        <f t="shared" si="2"/>
        <v>258895000</v>
      </c>
      <c r="F9" s="3">
        <v>17</v>
      </c>
      <c r="G9" s="3">
        <v>74245000</v>
      </c>
      <c r="H9" s="3">
        <v>153395000</v>
      </c>
      <c r="I9" s="4">
        <f>1+1+1</f>
        <v>3</v>
      </c>
      <c r="J9" s="4">
        <f>7000000+7000000+10400000</f>
        <v>24400000</v>
      </c>
      <c r="K9" s="4">
        <f>57500000+25000000+23000000</f>
        <v>105500000</v>
      </c>
      <c r="L9" s="23">
        <v>6</v>
      </c>
      <c r="M9" s="23">
        <v>53500000</v>
      </c>
      <c r="N9" s="23">
        <v>167500000</v>
      </c>
      <c r="O9" s="38"/>
    </row>
    <row r="10" spans="1:15" s="1" customFormat="1" ht="18.75" x14ac:dyDescent="0.3">
      <c r="A10" s="25">
        <v>6</v>
      </c>
      <c r="B10" s="27" t="s">
        <v>20</v>
      </c>
      <c r="C10" s="11">
        <f t="shared" si="0"/>
        <v>3</v>
      </c>
      <c r="D10" s="3">
        <f t="shared" si="1"/>
        <v>6000000</v>
      </c>
      <c r="E10" s="3">
        <f t="shared" si="2"/>
        <v>16000000</v>
      </c>
      <c r="F10" s="3">
        <v>3</v>
      </c>
      <c r="G10" s="3">
        <v>6000000</v>
      </c>
      <c r="H10" s="3">
        <v>16000000</v>
      </c>
      <c r="I10" s="3"/>
      <c r="J10" s="4"/>
      <c r="K10" s="4"/>
      <c r="L10" s="23"/>
      <c r="M10" s="23"/>
      <c r="N10" s="23"/>
      <c r="O10" s="38"/>
    </row>
    <row r="11" spans="1:15" s="1" customFormat="1" ht="18.75" x14ac:dyDescent="0.3">
      <c r="A11" s="25">
        <v>7</v>
      </c>
      <c r="B11" s="27" t="s">
        <v>21</v>
      </c>
      <c r="C11" s="11">
        <f t="shared" si="0"/>
        <v>19</v>
      </c>
      <c r="D11" s="3">
        <f t="shared" si="1"/>
        <v>85185000</v>
      </c>
      <c r="E11" s="3">
        <f t="shared" si="2"/>
        <v>218502800</v>
      </c>
      <c r="F11" s="3">
        <v>12</v>
      </c>
      <c r="G11" s="3">
        <v>28385000</v>
      </c>
      <c r="H11" s="3">
        <v>70802800</v>
      </c>
      <c r="I11" s="4">
        <f>5+1+1</f>
        <v>7</v>
      </c>
      <c r="J11" s="4">
        <f>26800000+25000000+5000000</f>
        <v>56800000</v>
      </c>
      <c r="K11" s="4">
        <f>75700000+60000000+12000000</f>
        <v>147700000</v>
      </c>
      <c r="L11" s="23">
        <v>7</v>
      </c>
      <c r="M11" s="23">
        <v>56800000</v>
      </c>
      <c r="N11" s="23">
        <v>147700000</v>
      </c>
      <c r="O11" s="38"/>
    </row>
    <row r="12" spans="1:15" s="1" customFormat="1" ht="18.75" x14ac:dyDescent="0.3">
      <c r="A12" s="25">
        <v>8</v>
      </c>
      <c r="B12" s="27" t="s">
        <v>23</v>
      </c>
      <c r="C12" s="11">
        <f t="shared" si="0"/>
        <v>2</v>
      </c>
      <c r="D12" s="3">
        <f t="shared" si="1"/>
        <v>3775000</v>
      </c>
      <c r="E12" s="3">
        <f t="shared" si="2"/>
        <v>9450000</v>
      </c>
      <c r="F12" s="3">
        <v>1</v>
      </c>
      <c r="G12" s="3">
        <v>2800000</v>
      </c>
      <c r="H12" s="3">
        <v>7500000</v>
      </c>
      <c r="I12" s="4">
        <v>1</v>
      </c>
      <c r="J12" s="4">
        <v>975000</v>
      </c>
      <c r="K12" s="4">
        <v>1950000</v>
      </c>
      <c r="L12" s="23">
        <v>1</v>
      </c>
      <c r="M12" s="23">
        <v>975000</v>
      </c>
      <c r="N12" s="23">
        <v>1950000</v>
      </c>
      <c r="O12" s="38"/>
    </row>
    <row r="13" spans="1:15" s="1" customFormat="1" ht="18.75" x14ac:dyDescent="0.3">
      <c r="A13" s="25">
        <v>9</v>
      </c>
      <c r="B13" s="27" t="s">
        <v>22</v>
      </c>
      <c r="C13" s="11">
        <f t="shared" si="0"/>
        <v>107</v>
      </c>
      <c r="D13" s="3">
        <f t="shared" si="1"/>
        <v>362845499</v>
      </c>
      <c r="E13" s="3">
        <f t="shared" si="2"/>
        <v>876633427.39999998</v>
      </c>
      <c r="F13" s="3">
        <v>90</v>
      </c>
      <c r="G13" s="3">
        <v>299987499</v>
      </c>
      <c r="H13" s="3">
        <v>745652177.39999998</v>
      </c>
      <c r="I13" s="4">
        <f>2+3+2+2+4+2+1+1</f>
        <v>17</v>
      </c>
      <c r="J13" s="4">
        <f>6120000+11300000+3528000+5930000+8650000+7730000+15000000+4600000</f>
        <v>62858000</v>
      </c>
      <c r="K13" s="4">
        <f>11500000+24500000+7286000+11860000+17300000+16000000+35000000+7535250</f>
        <v>130981250</v>
      </c>
      <c r="L13" s="23">
        <v>39</v>
      </c>
      <c r="M13" s="23">
        <v>180733499</v>
      </c>
      <c r="N13" s="23">
        <v>404022427.64999998</v>
      </c>
      <c r="O13" s="38"/>
    </row>
    <row r="14" spans="1:15" s="1" customFormat="1" ht="18.75" x14ac:dyDescent="0.3">
      <c r="A14" s="25">
        <v>10</v>
      </c>
      <c r="B14" s="27" t="s">
        <v>24</v>
      </c>
      <c r="C14" s="11">
        <f t="shared" si="0"/>
        <v>15</v>
      </c>
      <c r="D14" s="3">
        <f t="shared" si="1"/>
        <v>21920000</v>
      </c>
      <c r="E14" s="3">
        <f t="shared" si="2"/>
        <v>72600000</v>
      </c>
      <c r="F14" s="3">
        <v>15</v>
      </c>
      <c r="G14" s="3">
        <v>21920000</v>
      </c>
      <c r="H14" s="3">
        <v>72600000</v>
      </c>
      <c r="I14" s="4"/>
      <c r="J14" s="4"/>
      <c r="K14" s="4"/>
      <c r="L14" s="23">
        <v>1</v>
      </c>
      <c r="M14" s="23">
        <v>5000000</v>
      </c>
      <c r="N14" s="23">
        <v>10000000</v>
      </c>
      <c r="O14" s="38"/>
    </row>
    <row r="15" spans="1:15" s="1" customFormat="1" ht="18.75" x14ac:dyDescent="0.3">
      <c r="A15" s="25">
        <v>11</v>
      </c>
      <c r="B15" s="27" t="s">
        <v>25</v>
      </c>
      <c r="C15" s="11">
        <f t="shared" si="0"/>
        <v>45</v>
      </c>
      <c r="D15" s="3">
        <f t="shared" si="1"/>
        <v>59310000</v>
      </c>
      <c r="E15" s="3">
        <f t="shared" si="2"/>
        <v>135700000</v>
      </c>
      <c r="F15" s="3">
        <v>43</v>
      </c>
      <c r="G15" s="3">
        <v>52810000</v>
      </c>
      <c r="H15" s="3">
        <v>122700000</v>
      </c>
      <c r="I15" s="4">
        <v>2</v>
      </c>
      <c r="J15" s="3">
        <f>5000000+1500000</f>
        <v>6500000</v>
      </c>
      <c r="K15" s="3">
        <f>10000000+3000000</f>
        <v>13000000</v>
      </c>
      <c r="L15" s="23">
        <v>2</v>
      </c>
      <c r="M15" s="23">
        <v>6500000</v>
      </c>
      <c r="N15" s="23">
        <v>13000000</v>
      </c>
      <c r="O15" s="38"/>
    </row>
    <row r="16" spans="1:15" s="1" customFormat="1" ht="18.75" x14ac:dyDescent="0.3">
      <c r="A16" s="26">
        <v>12</v>
      </c>
      <c r="B16" s="27" t="s">
        <v>26</v>
      </c>
      <c r="C16" s="11">
        <f t="shared" si="0"/>
        <v>0</v>
      </c>
      <c r="D16" s="3">
        <f t="shared" si="1"/>
        <v>0</v>
      </c>
      <c r="E16" s="3">
        <f t="shared" si="2"/>
        <v>0</v>
      </c>
      <c r="F16" s="3">
        <v>0</v>
      </c>
      <c r="G16" s="3">
        <v>0</v>
      </c>
      <c r="H16" s="3">
        <v>0</v>
      </c>
      <c r="I16" s="4"/>
      <c r="J16" s="5"/>
      <c r="K16" s="5"/>
      <c r="L16" s="23"/>
      <c r="M16" s="23"/>
      <c r="N16" s="23"/>
      <c r="O16" s="38"/>
    </row>
    <row r="17" spans="1:15" s="1" customFormat="1" ht="18.75" x14ac:dyDescent="0.3">
      <c r="A17" s="26">
        <v>13</v>
      </c>
      <c r="B17" s="27" t="s">
        <v>27</v>
      </c>
      <c r="C17" s="11">
        <f t="shared" si="0"/>
        <v>6</v>
      </c>
      <c r="D17" s="3">
        <f t="shared" si="1"/>
        <v>26679000</v>
      </c>
      <c r="E17" s="3">
        <f t="shared" si="2"/>
        <v>55800000</v>
      </c>
      <c r="F17" s="3">
        <v>0</v>
      </c>
      <c r="G17" s="3">
        <v>0</v>
      </c>
      <c r="H17" s="3">
        <v>0</v>
      </c>
      <c r="I17" s="4">
        <f>3+3</f>
        <v>6</v>
      </c>
      <c r="J17" s="3">
        <f>12000000+3379000+11300000</f>
        <v>26679000</v>
      </c>
      <c r="K17" s="3">
        <f>29000000+7000000+19800000</f>
        <v>55800000</v>
      </c>
      <c r="L17" s="23">
        <v>6</v>
      </c>
      <c r="M17" s="23">
        <v>26679000</v>
      </c>
      <c r="N17" s="23">
        <v>55800000</v>
      </c>
      <c r="O17" s="38"/>
    </row>
    <row r="18" spans="1:15" s="1" customFormat="1" ht="18.75" x14ac:dyDescent="0.3">
      <c r="A18" s="26">
        <v>14</v>
      </c>
      <c r="B18" s="10" t="s">
        <v>28</v>
      </c>
      <c r="C18" s="11">
        <f t="shared" si="0"/>
        <v>1</v>
      </c>
      <c r="D18" s="3">
        <f t="shared" si="1"/>
        <v>10000000</v>
      </c>
      <c r="E18" s="3">
        <f t="shared" si="2"/>
        <v>50000000</v>
      </c>
      <c r="F18" s="3"/>
      <c r="G18" s="3"/>
      <c r="H18" s="3"/>
      <c r="I18" s="4">
        <v>1</v>
      </c>
      <c r="J18" s="3">
        <v>10000000</v>
      </c>
      <c r="K18" s="3">
        <v>50000000</v>
      </c>
      <c r="L18" s="23">
        <v>1</v>
      </c>
      <c r="M18" s="23">
        <v>10000000</v>
      </c>
      <c r="N18" s="23">
        <v>50000000</v>
      </c>
      <c r="O18" s="38"/>
    </row>
    <row r="19" spans="1:15" s="1" customFormat="1" ht="18.75" x14ac:dyDescent="0.3">
      <c r="A19" s="29">
        <v>15</v>
      </c>
      <c r="B19" s="10" t="s">
        <v>29</v>
      </c>
      <c r="C19" s="11">
        <f t="shared" si="0"/>
        <v>6</v>
      </c>
      <c r="D19" s="3">
        <f t="shared" si="1"/>
        <v>41200000</v>
      </c>
      <c r="E19" s="3">
        <f t="shared" si="2"/>
        <v>81000000</v>
      </c>
      <c r="F19" s="3">
        <v>4</v>
      </c>
      <c r="G19" s="3">
        <v>19400000</v>
      </c>
      <c r="H19" s="3">
        <v>41000000</v>
      </c>
      <c r="I19" s="4">
        <v>2</v>
      </c>
      <c r="J19" s="3">
        <f>3800000+18000000</f>
        <v>21800000</v>
      </c>
      <c r="K19" s="3">
        <f>10000000+30000000</f>
        <v>40000000</v>
      </c>
      <c r="L19" s="23">
        <v>6</v>
      </c>
      <c r="M19" s="23">
        <v>41200000</v>
      </c>
      <c r="N19" s="23">
        <v>81000000</v>
      </c>
      <c r="O19" s="38"/>
    </row>
    <row r="20" spans="1:15" s="1" customFormat="1" ht="19.5" customHeight="1" x14ac:dyDescent="0.3">
      <c r="A20" s="18"/>
      <c r="B20" s="12" t="s">
        <v>1</v>
      </c>
      <c r="C20" s="11">
        <f t="shared" si="0"/>
        <v>160</v>
      </c>
      <c r="D20" s="3">
        <f t="shared" si="1"/>
        <v>439136398</v>
      </c>
      <c r="E20" s="3">
        <f t="shared" si="2"/>
        <v>1187766354.4000001</v>
      </c>
      <c r="F20" s="3">
        <f>(164-52)+48</f>
        <v>160</v>
      </c>
      <c r="G20" s="3">
        <f>(458536398-204945900)+185545900</f>
        <v>439136398</v>
      </c>
      <c r="H20" s="3">
        <f>(1228766354.4-609375679.27)+568375679.27</f>
        <v>1187766354.4000001</v>
      </c>
      <c r="I20" s="3"/>
      <c r="J20" s="7"/>
      <c r="K20" s="7"/>
      <c r="L20" s="23">
        <v>3</v>
      </c>
      <c r="M20" s="23">
        <v>3100000</v>
      </c>
      <c r="N20" s="23">
        <v>9241680</v>
      </c>
      <c r="O20" s="38"/>
    </row>
    <row r="21" spans="1:15" s="2" customFormat="1" ht="15.75" x14ac:dyDescent="0.25">
      <c r="A21" s="19"/>
      <c r="B21" s="13" t="s">
        <v>2</v>
      </c>
      <c r="C21" s="14">
        <f t="shared" ref="C21" si="3">F21+I21</f>
        <v>669</v>
      </c>
      <c r="D21" s="15">
        <f>G21+J21</f>
        <v>2183413001.8299999</v>
      </c>
      <c r="E21" s="15">
        <f>H21+K21</f>
        <v>5925299518.8000002</v>
      </c>
      <c r="F21" s="16">
        <f t="shared" ref="F21:N21" si="4">SUM(F5:F20)</f>
        <v>617</v>
      </c>
      <c r="G21" s="16">
        <f t="shared" si="4"/>
        <v>1881011112.5799999</v>
      </c>
      <c r="H21" s="16">
        <f t="shared" si="4"/>
        <v>5165768268.8000002</v>
      </c>
      <c r="I21" s="17">
        <f t="shared" si="4"/>
        <v>52</v>
      </c>
      <c r="J21" s="17">
        <f t="shared" si="4"/>
        <v>302401889.25</v>
      </c>
      <c r="K21" s="17">
        <f t="shared" si="4"/>
        <v>759531250</v>
      </c>
      <c r="L21" s="24">
        <f t="shared" si="4"/>
        <v>100</v>
      </c>
      <c r="M21" s="24">
        <f t="shared" si="4"/>
        <v>593482868.25</v>
      </c>
      <c r="N21" s="24">
        <f t="shared" si="4"/>
        <v>1550927107.6500001</v>
      </c>
    </row>
    <row r="23" spans="1:15" ht="15.75" customHeight="1" x14ac:dyDescent="0.25">
      <c r="D23" s="8"/>
    </row>
    <row r="25" spans="1:15" x14ac:dyDescent="0.25">
      <c r="C25" s="30"/>
      <c r="D25" s="30"/>
      <c r="E25" s="30"/>
      <c r="F25" s="8"/>
      <c r="G25" s="8"/>
      <c r="H25" s="8"/>
    </row>
  </sheetData>
  <sortState ref="O5:R20">
    <sortCondition descending="1" ref="O5:O20"/>
  </sortState>
  <mergeCells count="7">
    <mergeCell ref="L3:N3"/>
    <mergeCell ref="A1:N2"/>
    <mergeCell ref="A3:A4"/>
    <mergeCell ref="C3:E3"/>
    <mergeCell ref="I3:K3"/>
    <mergeCell ref="B3:B4"/>
    <mergeCell ref="F3:H3"/>
  </mergeCells>
  <pageMargins left="3.937007874015748E-2" right="3.937007874015748E-2" top="3.937007874015748E-2" bottom="3.937007874015748E-2" header="0.31496062992125984" footer="0.31496062992125984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tabSelected="1" topLeftCell="A10" workbookViewId="0">
      <selection activeCell="E13" sqref="E13"/>
    </sheetView>
  </sheetViews>
  <sheetFormatPr defaultRowHeight="15" x14ac:dyDescent="0.25"/>
  <cols>
    <col min="1" max="1" width="37" customWidth="1"/>
    <col min="2" max="2" width="16.5703125" customWidth="1"/>
    <col min="3" max="3" width="16.42578125" customWidth="1"/>
    <col min="4" max="4" width="17" customWidth="1"/>
  </cols>
  <sheetData>
    <row r="2" spans="1:4" ht="21" customHeight="1" x14ac:dyDescent="0.25">
      <c r="A2" s="32" t="s">
        <v>30</v>
      </c>
      <c r="B2" s="33">
        <v>43101</v>
      </c>
      <c r="C2" s="33">
        <v>43459</v>
      </c>
      <c r="D2" s="32" t="s">
        <v>31</v>
      </c>
    </row>
    <row r="3" spans="1:4" x14ac:dyDescent="0.25">
      <c r="A3" s="34" t="s">
        <v>32</v>
      </c>
      <c r="B3" s="35">
        <v>662233.14099999995</v>
      </c>
      <c r="C3" s="35">
        <v>683340.18500000006</v>
      </c>
      <c r="D3" s="37">
        <f>C3/B3</f>
        <v>1.0318725275031202</v>
      </c>
    </row>
    <row r="4" spans="1:4" ht="28.5" customHeight="1" x14ac:dyDescent="0.25">
      <c r="A4" s="34" t="s">
        <v>33</v>
      </c>
      <c r="B4" s="35">
        <v>103</v>
      </c>
      <c r="C4" s="35">
        <v>98</v>
      </c>
      <c r="D4" s="37">
        <f t="shared" ref="D4:D6" si="0">C4/B4</f>
        <v>0.95145631067961167</v>
      </c>
    </row>
    <row r="5" spans="1:4" ht="30" x14ac:dyDescent="0.25">
      <c r="A5" s="34" t="s">
        <v>34</v>
      </c>
      <c r="B5" s="35">
        <v>520160.397</v>
      </c>
      <c r="C5" s="35">
        <v>568845.86825000006</v>
      </c>
      <c r="D5" s="37">
        <f t="shared" si="0"/>
        <v>1.0935970357043543</v>
      </c>
    </row>
    <row r="6" spans="1:4" ht="30" x14ac:dyDescent="0.25">
      <c r="A6" s="34" t="s">
        <v>35</v>
      </c>
      <c r="B6" s="35">
        <v>1398441.8589999999</v>
      </c>
      <c r="C6" s="35">
        <v>1510953.1076499999</v>
      </c>
      <c r="D6" s="37">
        <f t="shared" si="0"/>
        <v>1.0804547203202675</v>
      </c>
    </row>
    <row r="8" spans="1:4" x14ac:dyDescent="0.25">
      <c r="C8" s="36"/>
    </row>
    <row r="10" spans="1:4" x14ac:dyDescent="0.25">
      <c r="A10" s="31" t="s">
        <v>36</v>
      </c>
      <c r="B10" s="35">
        <v>1527953107.6500001</v>
      </c>
      <c r="C10" s="31"/>
    </row>
    <row r="11" spans="1:4" x14ac:dyDescent="0.25">
      <c r="A11" s="31" t="s">
        <v>37</v>
      </c>
      <c r="B11" s="35">
        <v>906991680</v>
      </c>
      <c r="C11" s="37">
        <f>B11/B10</f>
        <v>0.59359915920126505</v>
      </c>
    </row>
    <row r="12" spans="1:4" x14ac:dyDescent="0.25">
      <c r="A12" s="31" t="s">
        <v>38</v>
      </c>
      <c r="B12" s="35">
        <f>B10-B11</f>
        <v>620961427.6500001</v>
      </c>
      <c r="C12" s="37">
        <f>B12/B10</f>
        <v>0.40640084079873501</v>
      </c>
    </row>
    <row r="16" spans="1:4" ht="18.75" x14ac:dyDescent="0.3">
      <c r="A16" s="27" t="s">
        <v>22</v>
      </c>
      <c r="B16" s="46">
        <v>0.20786245798892608</v>
      </c>
      <c r="C16" s="46">
        <v>0.17245011314544331</v>
      </c>
    </row>
    <row r="17" spans="1:3" ht="18.75" x14ac:dyDescent="0.3">
      <c r="A17" s="27" t="s">
        <v>21</v>
      </c>
      <c r="B17" s="46">
        <v>0.18782951436207007</v>
      </c>
      <c r="C17" s="46">
        <v>0.19446204484673935</v>
      </c>
    </row>
    <row r="18" spans="1:3" ht="18.75" x14ac:dyDescent="0.3">
      <c r="A18" s="27" t="s">
        <v>15</v>
      </c>
      <c r="B18" s="46">
        <v>0.17324590590334746</v>
      </c>
      <c r="C18" s="46">
        <v>0.18985393951861756</v>
      </c>
    </row>
    <row r="19" spans="1:3" ht="18.75" x14ac:dyDescent="0.3">
      <c r="A19" s="28" t="s">
        <v>18</v>
      </c>
      <c r="B19" s="46">
        <v>8.9615842239649635E-2</v>
      </c>
      <c r="C19" s="46">
        <v>5.8720427895494753E-2</v>
      </c>
    </row>
    <row r="20" spans="1:3" ht="18.75" x14ac:dyDescent="0.3">
      <c r="A20" s="27" t="s">
        <v>27</v>
      </c>
      <c r="B20" s="46">
        <v>8.8223655170170209E-2</v>
      </c>
      <c r="C20" s="46">
        <v>7.3466364945484475E-2</v>
      </c>
    </row>
    <row r="21" spans="1:3" ht="18.75" x14ac:dyDescent="0.3">
      <c r="A21" s="27" t="s">
        <v>19</v>
      </c>
      <c r="B21" s="46">
        <v>8.0687326592156869E-2</v>
      </c>
      <c r="C21" s="46">
        <v>0.13890146060481381</v>
      </c>
    </row>
    <row r="22" spans="1:3" ht="18.75" x14ac:dyDescent="0.3">
      <c r="A22" s="10" t="s">
        <v>29</v>
      </c>
      <c r="B22" s="46">
        <v>7.2089496709386053E-2</v>
      </c>
      <c r="C22" s="46">
        <v>5.2664060892820407E-2</v>
      </c>
    </row>
    <row r="23" spans="1:3" ht="18.75" x14ac:dyDescent="0.3">
      <c r="A23" s="27" t="s">
        <v>16</v>
      </c>
      <c r="B23" s="46">
        <v>4.265846364913211E-2</v>
      </c>
      <c r="C23" s="46">
        <v>3.3968319275869165E-2</v>
      </c>
    </row>
    <row r="24" spans="1:3" ht="18.75" x14ac:dyDescent="0.3">
      <c r="A24" s="10" t="s">
        <v>28</v>
      </c>
      <c r="B24" s="46">
        <v>3.3068576472195438E-2</v>
      </c>
      <c r="C24" s="46">
        <v>6.583007611602551E-2</v>
      </c>
    </row>
    <row r="25" spans="1:3" ht="18.75" x14ac:dyDescent="0.3">
      <c r="A25" s="27" t="s">
        <v>25</v>
      </c>
      <c r="B25" s="46">
        <v>2.1494574706927033E-2</v>
      </c>
      <c r="C25" s="46">
        <v>1.7115819790166631E-2</v>
      </c>
    </row>
    <row r="26" spans="1:3" ht="18.75" x14ac:dyDescent="0.3">
      <c r="A26" s="27" t="s">
        <v>23</v>
      </c>
      <c r="B26" s="46">
        <v>3.2241862060390552E-3</v>
      </c>
      <c r="C26" s="46">
        <v>2.5673729685249951E-3</v>
      </c>
    </row>
    <row r="27" spans="1:3" ht="18.75" x14ac:dyDescent="0.3">
      <c r="A27" s="28" t="s">
        <v>17</v>
      </c>
      <c r="B27" s="46">
        <v>0</v>
      </c>
      <c r="C27" s="46">
        <v>0</v>
      </c>
    </row>
    <row r="28" spans="1:3" ht="18.75" x14ac:dyDescent="0.3">
      <c r="A28" s="27" t="s">
        <v>20</v>
      </c>
      <c r="B28" s="46">
        <v>0</v>
      </c>
      <c r="C28" s="46">
        <v>0</v>
      </c>
    </row>
    <row r="29" spans="1:3" ht="18.75" x14ac:dyDescent="0.3">
      <c r="A29" s="27" t="s">
        <v>24</v>
      </c>
      <c r="B29" s="46">
        <v>0</v>
      </c>
      <c r="C29" s="46">
        <v>0</v>
      </c>
    </row>
    <row r="30" spans="1:3" ht="18.75" x14ac:dyDescent="0.3">
      <c r="A30" s="27" t="s">
        <v>26</v>
      </c>
      <c r="B30" s="46">
        <v>0</v>
      </c>
      <c r="C30" s="46">
        <v>0</v>
      </c>
    </row>
  </sheetData>
  <sortState ref="A16:C30">
    <sortCondition descending="1" ref="B16:B3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поручительства Фонда</vt:lpstr>
      <vt:lpstr>Лист2</vt:lpstr>
      <vt:lpstr>Лист1</vt:lpstr>
      <vt:lpstr>'поручительства Фонда'!Область_печати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Procenko</dc:creator>
  <cp:lastModifiedBy>Shavolin</cp:lastModifiedBy>
  <cp:lastPrinted>2019-01-14T05:35:10Z</cp:lastPrinted>
  <dcterms:created xsi:type="dcterms:W3CDTF">2012-01-25T08:03:53Z</dcterms:created>
  <dcterms:modified xsi:type="dcterms:W3CDTF">2019-03-12T09:21:38Z</dcterms:modified>
</cp:coreProperties>
</file>